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uconn-my.sharepoint.com/personal/alyse_l_kwapien_uconn_edu/Documents/PDrive/Bursar/Tuition and Fee Calculators/Undergrad/"/>
    </mc:Choice>
  </mc:AlternateContent>
  <xr:revisionPtr revIDLastSave="5" documentId="8_{28DE68B9-685A-40AC-9722-2162B0CEC022}" xr6:coauthVersionLast="47" xr6:coauthVersionMax="47" xr10:uidLastSave="{9019EBEB-475B-4CFD-8200-D419A01833E5}"/>
  <workbookProtection workbookAlgorithmName="SHA-512" workbookHashValue="7heZz1wckLNgqz9bm0Yn8kz9gJz277EQnTECVQr1tc1NzHU1QDH+B/1lYZD9iqH5cINpo8t4m+POzJoEcyEfig==" workbookSaltValue="dQnjVrPPxSkCL33rdkMKzg==" workbookSpinCount="100000" lockStructure="1"/>
  <bookViews>
    <workbookView xWindow="-120" yWindow="-120" windowWidth="29040" windowHeight="15720" xr2:uid="{318A0864-EC0A-40C0-A19B-F9DE8DE607D2}"/>
  </bookViews>
  <sheets>
    <sheet name="Calculator" sheetId="1" r:id="rId1"/>
    <sheet name="Fee Breakdown" sheetId="2" state="hidden" r:id="rId2"/>
  </sheets>
  <definedNames>
    <definedName name="HBB_FT">#REF!</definedName>
    <definedName name="HBB_PT">#REF!</definedName>
    <definedName name="N_A___Program_Offered_for_Full_Time_Students_Only">"HB_PT"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9" i="1" l="1"/>
  <c r="D24" i="1"/>
  <c r="C38" i="1" a="1"/>
  <c r="C38" i="1" s="1"/>
  <c r="C36" i="1"/>
  <c r="P8" i="2"/>
  <c r="P7" i="2"/>
  <c r="P6" i="2"/>
  <c r="M25" i="2"/>
  <c r="M24" i="2"/>
  <c r="M23" i="2"/>
  <c r="M20" i="2"/>
  <c r="M19" i="2"/>
  <c r="M16" i="2"/>
  <c r="M15" i="2"/>
  <c r="M14" i="2"/>
  <c r="M8" i="2"/>
  <c r="M13" i="2"/>
  <c r="M12" i="2"/>
  <c r="M9" i="2"/>
  <c r="M7" i="2"/>
  <c r="M6" i="2"/>
  <c r="D16" i="1"/>
  <c r="B57" i="1"/>
  <c r="B58" i="1"/>
  <c r="C47" i="1"/>
  <c r="B47" i="1"/>
  <c r="B26" i="1"/>
  <c r="C37" i="1" a="1"/>
  <c r="C37" i="1" s="1"/>
  <c r="D19" i="1" l="1"/>
  <c r="B28" i="1"/>
  <c r="B27" i="1"/>
  <c r="D17" i="1"/>
  <c r="J4" i="2"/>
  <c r="D15" i="1"/>
  <c r="C35" i="1"/>
  <c r="C33" i="1"/>
  <c r="D13" i="1"/>
  <c r="D23" i="1"/>
  <c r="D25" i="1"/>
  <c r="D22" i="1"/>
  <c r="D21" i="1"/>
  <c r="C34" i="1"/>
  <c r="D20" i="1"/>
  <c r="D18" i="1"/>
  <c r="D42" i="1"/>
  <c r="D43" i="1"/>
  <c r="C44" i="1" l="1"/>
  <c r="C39" i="1" l="1"/>
  <c r="C48" i="1" s="1"/>
  <c r="D48" i="1" l="1"/>
  <c r="C51" i="1"/>
  <c r="C52" i="1"/>
  <c r="C50" i="1"/>
  <c r="B4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<sst xmlns="http://schemas.openxmlformats.org/spreadsheetml/2006/main" count="212" uniqueCount="182">
  <si>
    <t>Residency</t>
  </si>
  <si>
    <t>Tuition</t>
  </si>
  <si>
    <t>Housing</t>
  </si>
  <si>
    <t>Dining</t>
  </si>
  <si>
    <t>Mandatory Fees</t>
  </si>
  <si>
    <t>In-State 1</t>
  </si>
  <si>
    <t>In-State 2</t>
  </si>
  <si>
    <t>In-State 3</t>
  </si>
  <si>
    <t>In-State 4</t>
  </si>
  <si>
    <t>In-State 5</t>
  </si>
  <si>
    <t>In-State 6</t>
  </si>
  <si>
    <t>In-State 7</t>
  </si>
  <si>
    <t>In-State 8</t>
  </si>
  <si>
    <t>In-State 9</t>
  </si>
  <si>
    <t>In-State 10</t>
  </si>
  <si>
    <t>In-State 11</t>
  </si>
  <si>
    <t>In-State 12+</t>
  </si>
  <si>
    <t>Campus</t>
  </si>
  <si>
    <t>Out-of-State 1</t>
  </si>
  <si>
    <t>Out-of-State 2</t>
  </si>
  <si>
    <t>Out-of-State 3</t>
  </si>
  <si>
    <t>Out-of-State 4</t>
  </si>
  <si>
    <t>Out-of-State 5</t>
  </si>
  <si>
    <t>Out-of-State 6</t>
  </si>
  <si>
    <t>Out-of-State 7</t>
  </si>
  <si>
    <t>Out-of-State 8</t>
  </si>
  <si>
    <t>Out-of-State 9</t>
  </si>
  <si>
    <t>Out-of-State 10</t>
  </si>
  <si>
    <t>Out-of-State 11</t>
  </si>
  <si>
    <t>Out-of-State 12+</t>
  </si>
  <si>
    <t>New England Regional 1</t>
  </si>
  <si>
    <t>New England Regional 2</t>
  </si>
  <si>
    <t>New England Regional 3</t>
  </si>
  <si>
    <t>New England Regional 4</t>
  </si>
  <si>
    <t>New England Regional 5</t>
  </si>
  <si>
    <t>New England Regional 6</t>
  </si>
  <si>
    <t>New England Regional 7</t>
  </si>
  <si>
    <t>New England Regional 8</t>
  </si>
  <si>
    <t>New England Regional 9</t>
  </si>
  <si>
    <t>New England Regional 10</t>
  </si>
  <si>
    <t>New England Regional 11</t>
  </si>
  <si>
    <t>New England Regional 12+</t>
  </si>
  <si>
    <t>Meal Plans</t>
  </si>
  <si>
    <t>None</t>
  </si>
  <si>
    <t>Estimated Total Charges Per Semester</t>
  </si>
  <si>
    <t>Living on Campus?</t>
  </si>
  <si>
    <t>Housing Selection - Storrs</t>
  </si>
  <si>
    <t>Housing Selection - Stamford</t>
  </si>
  <si>
    <t>Total Enrolled Credits</t>
  </si>
  <si>
    <t>Expected Outside Scholarships/Funding</t>
  </si>
  <si>
    <t>Estimated Total Aid Per Semester</t>
  </si>
  <si>
    <t>3 Month Payment Plan Installments</t>
  </si>
  <si>
    <t>4 Month Payment Plan Installments</t>
  </si>
  <si>
    <t>5 Month Payment Plan Installments</t>
  </si>
  <si>
    <t>Estimated Fee Bill Breakdown Per Semester</t>
  </si>
  <si>
    <t>How to Use This Estimator Tool</t>
  </si>
  <si>
    <t>Using University Health Insurance?</t>
  </si>
  <si>
    <t>Please Make Selections from the Below Drop Downs</t>
  </si>
  <si>
    <t>Term Bill Being Estimated</t>
  </si>
  <si>
    <t>Husky Book Bundle*</t>
  </si>
  <si>
    <t>Univeristy Student Health Insurance*</t>
  </si>
  <si>
    <t>Using the Husky Book Bundle Program?</t>
  </si>
  <si>
    <t>Expected Financial Aid Per Semester**</t>
  </si>
  <si>
    <t>Are you a new first-year student?</t>
  </si>
  <si>
    <t>Select Option</t>
  </si>
  <si>
    <t>Storrs 1</t>
  </si>
  <si>
    <t>Storrs 2</t>
  </si>
  <si>
    <t>Storrs 3</t>
  </si>
  <si>
    <t>Storrs 4</t>
  </si>
  <si>
    <t>Storrs 5</t>
  </si>
  <si>
    <t>Storrs 6</t>
  </si>
  <si>
    <t>Storrs 7</t>
  </si>
  <si>
    <t>Storrs 8</t>
  </si>
  <si>
    <t>Storrs 9</t>
  </si>
  <si>
    <t>Storrs 10</t>
  </si>
  <si>
    <t>Storrs 11</t>
  </si>
  <si>
    <t>Storrs 12+</t>
  </si>
  <si>
    <t>Avery Point 1</t>
  </si>
  <si>
    <t>Avery Point 2</t>
  </si>
  <si>
    <t>Avery Point 3</t>
  </si>
  <si>
    <t>Avery Point 4</t>
  </si>
  <si>
    <t>Avery Point 5</t>
  </si>
  <si>
    <t>Avery Point 6</t>
  </si>
  <si>
    <t>Avery Point 7</t>
  </si>
  <si>
    <t>Avery Point 8</t>
  </si>
  <si>
    <t>Avery Point 9</t>
  </si>
  <si>
    <t>Avery Point 10</t>
  </si>
  <si>
    <t>Avery Point 11</t>
  </si>
  <si>
    <t>Avery Point 12+</t>
  </si>
  <si>
    <t>Hartford 1</t>
  </si>
  <si>
    <t>Hartford 2</t>
  </si>
  <si>
    <t>Hartford 3</t>
  </si>
  <si>
    <t>Hartford 4</t>
  </si>
  <si>
    <t>Hartford 5</t>
  </si>
  <si>
    <t>Hartford 6</t>
  </si>
  <si>
    <t>Hartford 7</t>
  </si>
  <si>
    <t>Hartford 8</t>
  </si>
  <si>
    <t>Hartford 9</t>
  </si>
  <si>
    <t>Hartford 10</t>
  </si>
  <si>
    <t>Hartford 11</t>
  </si>
  <si>
    <t>Hartford 12+</t>
  </si>
  <si>
    <t>Stamford 1</t>
  </si>
  <si>
    <t>Stamford 2</t>
  </si>
  <si>
    <t>Stamford 3</t>
  </si>
  <si>
    <t>Stamford 4</t>
  </si>
  <si>
    <t>Stamford 5</t>
  </si>
  <si>
    <t>Stamford 6</t>
  </si>
  <si>
    <t>Stamford 7</t>
  </si>
  <si>
    <t>Stamford 8</t>
  </si>
  <si>
    <t>Stamford 9</t>
  </si>
  <si>
    <t>Stamford 10</t>
  </si>
  <si>
    <t>Stamford 11</t>
  </si>
  <si>
    <t>Stamford 12+</t>
  </si>
  <si>
    <t>Waterbury 1</t>
  </si>
  <si>
    <t>Waterbury 2</t>
  </si>
  <si>
    <t>Waterbury 3</t>
  </si>
  <si>
    <t>Waterbury 4</t>
  </si>
  <si>
    <t>Waterbury 5</t>
  </si>
  <si>
    <t>Waterbury 6</t>
  </si>
  <si>
    <t>Waterbury 7</t>
  </si>
  <si>
    <t>Waterbury 8</t>
  </si>
  <si>
    <t>Waterbury 9</t>
  </si>
  <si>
    <t>Waterbury 10</t>
  </si>
  <si>
    <t>Waterbury 11</t>
  </si>
  <si>
    <t>Waterbury 12+</t>
  </si>
  <si>
    <t>Storrs - Custom Meal Plan</t>
  </si>
  <si>
    <t>Storrs - Value Meal Plan</t>
  </si>
  <si>
    <t>Storrs - Ultimate Meal Plan</t>
  </si>
  <si>
    <t>Meal Plan Selection - Storrs</t>
  </si>
  <si>
    <t>Meal Plan Selection - Avery Point</t>
  </si>
  <si>
    <t>Meal Plan Selection - Stamford</t>
  </si>
  <si>
    <t>Will you have a Meal Plan?</t>
  </si>
  <si>
    <t>Avery Point - 5 Meals/Week</t>
  </si>
  <si>
    <t>Stamford - 25 Meals</t>
  </si>
  <si>
    <t>Stamford - 50 Meals</t>
  </si>
  <si>
    <t>Avery Point - 10 Meals/Week</t>
  </si>
  <si>
    <t>Stamford - 75 Meals</t>
  </si>
  <si>
    <t>Stamford - 100 Meals</t>
  </si>
  <si>
    <t>Stamford - 125 Meals</t>
  </si>
  <si>
    <t>Stamford - 150 Meals</t>
  </si>
  <si>
    <t>Stamford - 175 Meals</t>
  </si>
  <si>
    <t>Stamford - 200 Meals</t>
  </si>
  <si>
    <t>Stamford - 225 Meals</t>
  </si>
  <si>
    <t>Stamford - 250 Meals</t>
  </si>
  <si>
    <t>Needs to be updated every academic year</t>
  </si>
  <si>
    <t>Undergrad Mandatory Fees: Campus + # of Credits</t>
  </si>
  <si>
    <t>Waivable Fees: Insurance + HBB</t>
  </si>
  <si>
    <t>Undergrad Tuition: Residency + # of Credits</t>
  </si>
  <si>
    <t>Still Needs Updating</t>
  </si>
  <si>
    <t>Insurance Spring Only</t>
  </si>
  <si>
    <t>Storrs Rate 1</t>
  </si>
  <si>
    <t>Storrs Rate 2</t>
  </si>
  <si>
    <t>Storrs Rate 3</t>
  </si>
  <si>
    <t>Storrs Rate 4</t>
  </si>
  <si>
    <t>Storrs Rate 5</t>
  </si>
  <si>
    <t>Storrs Rate 6</t>
  </si>
  <si>
    <t>Stamford Rate 1</t>
  </si>
  <si>
    <t>Stamford Rate 2</t>
  </si>
  <si>
    <t>Hartford Rate 6</t>
  </si>
  <si>
    <t>Hartford Rate 7</t>
  </si>
  <si>
    <t>Housing Selection - Hartford</t>
  </si>
  <si>
    <t>Please correct housing selections above.</t>
  </si>
  <si>
    <t xml:space="preserve">**Please note, aid is typically offered for the full academic year, and will be disbursed evenly between Fall and Spring semesters.  Please enter only the amount for the semester.  Keep in mind that changes to your campus, credit level, residency and other factors may impact your aid eligibility. </t>
  </si>
  <si>
    <t>Office of the Bursar offers payment plans for each Fall and Spring semester.  Installments must be scheduled and paid by electronic check or credit/debit card (additional fee applies for card).  International payments may also be used for payment plans.</t>
  </si>
  <si>
    <t xml:space="preserve">Fall fee bills are due 8/1 and Spring fee bills are due 1/8.  </t>
  </si>
  <si>
    <r>
      <t xml:space="preserve">DISCLAIMER:  This tool is intended to assist in </t>
    </r>
    <r>
      <rPr>
        <b/>
        <u/>
        <sz val="14"/>
        <color rgb="FFEF002B"/>
        <rFont val="Calibri"/>
        <family val="2"/>
        <scheme val="minor"/>
      </rPr>
      <t>estimating</t>
    </r>
    <r>
      <rPr>
        <b/>
        <sz val="14"/>
        <color rgb="FFEF002B"/>
        <rFont val="Calibri"/>
        <family val="2"/>
        <scheme val="minor"/>
      </rPr>
      <t xml:space="preserve"> academic year 2026 - 2027 semester tuition/fees and expected out-of-pocket cost for undergraduate students.                                                   </t>
    </r>
    <r>
      <rPr>
        <b/>
        <u/>
        <sz val="14"/>
        <color rgb="FFEF002B"/>
        <rFont val="Calibri"/>
        <family val="2"/>
        <scheme val="minor"/>
      </rPr>
      <t>Actual charges and balance due may differ.</t>
    </r>
  </si>
  <si>
    <r>
      <t xml:space="preserve">This tool is intended to help </t>
    </r>
    <r>
      <rPr>
        <b/>
        <u/>
        <sz val="14"/>
        <color theme="1"/>
        <rFont val="Calibri"/>
        <family val="2"/>
        <scheme val="minor"/>
      </rPr>
      <t>estimate</t>
    </r>
    <r>
      <rPr>
        <b/>
        <sz val="14"/>
        <color theme="1"/>
        <rFont val="Calibri"/>
        <family val="2"/>
        <scheme val="minor"/>
      </rPr>
      <t xml:space="preserve"> out-of-pocket costs per semester for academic year</t>
    </r>
    <r>
      <rPr>
        <b/>
        <u/>
        <sz val="14"/>
        <color theme="1"/>
        <rFont val="Calibri"/>
        <family val="2"/>
        <scheme val="minor"/>
      </rPr>
      <t xml:space="preserve"> 2026 - 2027</t>
    </r>
    <r>
      <rPr>
        <b/>
        <sz val="14"/>
        <color theme="1"/>
        <rFont val="Calibri"/>
        <family val="2"/>
        <scheme val="minor"/>
      </rPr>
      <t xml:space="preserve">.  Please complete the </t>
    </r>
    <r>
      <rPr>
        <b/>
        <sz val="14"/>
        <color rgb="FF7C878E"/>
        <rFont val="Calibri"/>
        <family val="2"/>
        <scheme val="minor"/>
      </rPr>
      <t>grey</t>
    </r>
    <r>
      <rPr>
        <b/>
        <sz val="14"/>
        <color theme="1"/>
        <rFont val="Calibri"/>
        <family val="2"/>
        <scheme val="minor"/>
      </rPr>
      <t xml:space="preserve"> fields.  The estimated charges, estimated out-of-pocket costs, and estimated payment plan installment amounts will automatically populate based on your inputted responses in the </t>
    </r>
    <r>
      <rPr>
        <b/>
        <sz val="14"/>
        <color rgb="FF7C878E"/>
        <rFont val="Calibri"/>
        <family val="2"/>
        <scheme val="minor"/>
      </rPr>
      <t>grey</t>
    </r>
    <r>
      <rPr>
        <b/>
        <sz val="14"/>
        <color rgb="FF616B71"/>
        <rFont val="Calibri"/>
        <family val="2"/>
        <scheme val="minor"/>
      </rPr>
      <t xml:space="preserve"> </t>
    </r>
    <r>
      <rPr>
        <b/>
        <sz val="14"/>
        <color theme="1"/>
        <rFont val="Calibri"/>
        <family val="2"/>
        <scheme val="minor"/>
      </rPr>
      <t xml:space="preserve">fields.  Be sure to clear all </t>
    </r>
    <r>
      <rPr>
        <b/>
        <sz val="14"/>
        <color rgb="FFEF002B"/>
        <rFont val="Calibri"/>
        <family val="2"/>
        <scheme val="minor"/>
      </rPr>
      <t>red</t>
    </r>
    <r>
      <rPr>
        <b/>
        <sz val="14"/>
        <color theme="1"/>
        <rFont val="Calibri"/>
        <family val="2"/>
        <scheme val="minor"/>
      </rPr>
      <t xml:space="preserve"> errors as you complete the form.</t>
    </r>
  </si>
  <si>
    <t>AY26-27 Rates</t>
  </si>
  <si>
    <t>Storrs Rate 6 - 10 Month</t>
  </si>
  <si>
    <t>Storrs Rate 2 - 10 Month</t>
  </si>
  <si>
    <t>Storrs Rate 7 - 10 Month</t>
  </si>
  <si>
    <t>Storrs Rate 8 - 10 Month</t>
  </si>
  <si>
    <t>Hartford Rate 8</t>
  </si>
  <si>
    <t>*The University Health Insurance and Husky Book Bundle may be waived</t>
  </si>
  <si>
    <t>HBB 1 - 4</t>
  </si>
  <si>
    <t>HBB 5 - 11</t>
  </si>
  <si>
    <t>HBB 12+</t>
  </si>
  <si>
    <t>Insurance Yes, Fall</t>
  </si>
  <si>
    <t>Hartford - 5 Meals + 50pts/Week</t>
  </si>
  <si>
    <t>Hartford - 10 Meals + 50pts/Week</t>
  </si>
  <si>
    <t>Meal Plan Selection - Hartford</t>
  </si>
  <si>
    <t>Storrs Rate 4 - 10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</si>
</sst>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quot;$&quot;#,##0"/>
    <numFmt numFmtId="166" formatCode="_(* #,##0_);_(* \(#,##0\);_(* &quot;-&quot;??_);_(@_)"/>
  </numFmts>
  <fonts count="39" x14ac:knownFonts="1">
    <font>
      <sz val="11"/>
      <color theme="1"/>
      <name val="Calibri"/>
      <family val="2"/>
      <scheme val="minor"/>
    </font>
    <font>
      <b/>
      <sz val="11"/>
      <color theme="1"/>
      <name val="Calibri"/>
      <family val="2"/>
      <scheme val="minor"/>
    </font>
    <font>
      <sz val="8"/>
      <name val="Calibri"/>
      <family val="2"/>
      <scheme val="minor"/>
    </font>
    <font>
      <sz val="11"/>
      <color rgb="FF000000"/>
      <name val="Calibri"/>
      <family val="2"/>
      <scheme val="minor"/>
    </font>
    <font>
      <b/>
      <sz val="14"/>
      <color theme="1"/>
      <name val="Calibri"/>
      <family val="2"/>
      <scheme val="minor"/>
    </font>
    <font>
      <b/>
      <sz val="14"/>
      <color rgb="FFFF0000"/>
      <name val="Calibri"/>
      <family val="2"/>
      <scheme val="minor"/>
    </font>
    <font>
      <sz val="14"/>
      <color theme="1"/>
      <name val="Calibri"/>
      <family val="2"/>
      <scheme val="minor"/>
    </font>
    <font>
      <b/>
      <sz val="16"/>
      <color theme="1"/>
      <name val="Calibri"/>
      <family val="2"/>
      <scheme val="minor"/>
    </font>
    <font>
      <b/>
      <sz val="18"/>
      <color theme="1"/>
      <name val="Calibri"/>
      <family val="2"/>
      <scheme val="minor"/>
    </font>
    <font>
      <b/>
      <sz val="16"/>
      <color theme="0"/>
      <name val="Calibri"/>
      <family val="2"/>
      <scheme val="minor"/>
    </font>
    <font>
      <b/>
      <sz val="16"/>
      <name val="Calibri"/>
      <family val="2"/>
      <scheme val="minor"/>
    </font>
    <font>
      <sz val="14"/>
      <name val="Calibri"/>
      <family val="2"/>
      <scheme val="minor"/>
    </font>
    <font>
      <b/>
      <sz val="14"/>
      <color rgb="FFEF002B"/>
      <name val="Calibri"/>
      <family val="2"/>
      <scheme val="minor"/>
    </font>
    <font>
      <sz val="11"/>
      <color rgb="FFEF002B"/>
      <name val="Calibri"/>
      <family val="2"/>
      <scheme val="minor"/>
    </font>
    <font>
      <b/>
      <sz val="14"/>
      <color theme="0"/>
      <name val="Calibri"/>
      <family val="2"/>
      <scheme val="minor"/>
    </font>
    <font>
      <b/>
      <sz val="11"/>
      <color rgb="FFEF002B"/>
      <name val="Calibri"/>
      <family val="2"/>
      <scheme val="minor"/>
    </font>
    <font>
      <b/>
      <u/>
      <sz val="14"/>
      <color rgb="FFEF002B"/>
      <name val="Calibri"/>
      <family val="2"/>
      <scheme val="minor"/>
    </font>
    <font>
      <b/>
      <i/>
      <sz val="11"/>
      <color rgb="FF000E2F"/>
      <name val="Calibri"/>
      <family val="2"/>
      <scheme val="minor"/>
    </font>
    <font>
      <i/>
      <sz val="10"/>
      <color theme="1"/>
      <name val="Calibri"/>
      <family val="2"/>
      <scheme val="minor"/>
    </font>
    <font>
      <b/>
      <i/>
      <sz val="11"/>
      <color rgb="FFEF002B"/>
      <name val="Calibri"/>
      <family val="2"/>
      <scheme val="minor"/>
    </font>
    <font>
      <i/>
      <sz val="11"/>
      <color rgb="FFEF002B"/>
      <name val="Calibri"/>
      <family val="2"/>
      <scheme val="minor"/>
    </font>
    <font>
      <b/>
      <u/>
      <sz val="14"/>
      <color theme="1"/>
      <name val="Calibri"/>
      <family val="2"/>
      <scheme val="minor"/>
    </font>
    <font>
      <b/>
      <sz val="14"/>
      <color rgb="FF7C878E"/>
      <name val="Calibri"/>
      <family val="2"/>
      <scheme val="minor"/>
    </font>
    <font>
      <b/>
      <sz val="14"/>
      <color rgb="FF616B71"/>
      <name val="Calibri"/>
      <family val="2"/>
      <scheme val="minor"/>
    </font>
    <font>
      <b/>
      <sz val="11"/>
      <color rgb="FF000E2F"/>
      <name val="Calibri"/>
      <family val="2"/>
      <scheme val="minor"/>
    </font>
    <font>
      <b/>
      <i/>
      <sz val="11"/>
      <color theme="1"/>
      <name val="Calibri"/>
      <family val="2"/>
      <scheme val="minor"/>
    </font>
    <font>
      <i/>
      <sz val="11"/>
      <color rgb="FF000E2F"/>
      <name val="Calibri"/>
      <family val="2"/>
      <scheme val="minor"/>
    </font>
    <font>
      <sz val="14"/>
      <color rgb="FF000E2F"/>
      <name val="Calibri"/>
      <family val="2"/>
      <scheme val="minor"/>
    </font>
    <font>
      <sz val="11"/>
      <color theme="1"/>
      <name val="Calibri"/>
      <family val="2"/>
      <scheme val="minor"/>
    </font>
    <font>
      <sz val="12"/>
      <name val="Calibri"/>
      <family val="2"/>
      <scheme val="minor"/>
    </font>
    <font>
      <u/>
      <sz val="11"/>
      <color theme="10"/>
      <name val="Calibri"/>
      <family val="2"/>
      <scheme val="minor"/>
    </font>
    <font>
      <b/>
      <i/>
      <u/>
      <sz val="11"/>
      <color theme="4"/>
      <name val="Calibri"/>
      <family val="2"/>
      <scheme val="minor"/>
    </font>
    <font>
      <b/>
      <i/>
      <sz val="11"/>
      <color theme="4"/>
      <name val="Calibri"/>
      <family val="2"/>
      <scheme val="minor"/>
    </font>
    <font>
      <b/>
      <i/>
      <sz val="10"/>
      <color theme="4"/>
      <name val="Calibri"/>
      <family val="2"/>
      <scheme val="minor"/>
    </font>
    <font>
      <b/>
      <i/>
      <u/>
      <sz val="10"/>
      <color theme="4"/>
      <name val="Calibri"/>
      <family val="2"/>
      <scheme val="minor"/>
    </font>
    <font>
      <b/>
      <i/>
      <sz val="10"/>
      <color theme="10"/>
      <name val="Calibri"/>
      <family val="2"/>
      <scheme val="minor"/>
    </font>
    <font>
      <b/>
      <i/>
      <sz val="11"/>
      <color theme="10"/>
      <name val="Calibri"/>
      <family val="2"/>
      <scheme val="minor"/>
    </font>
    <font>
      <b/>
      <i/>
      <sz val="11"/>
      <color rgb="FFFF0000"/>
      <name val="Calibri"/>
      <family val="2"/>
      <scheme val="minor"/>
    </font>
    <font>
      <b/>
      <i/>
      <u/>
      <sz val="11"/>
      <color theme="10"/>
      <name val="Calibri"/>
      <family val="2"/>
      <scheme val="minor"/>
    </font>
  </fonts>
  <fills count="6">
    <fill>
      <patternFill patternType="none"/>
    </fill>
    <fill>
      <patternFill patternType="gray125"/>
    </fill>
    <fill>
      <patternFill patternType="solid">
        <fgColor rgb="FF000E2F"/>
        <bgColor indexed="64"/>
      </patternFill>
    </fill>
    <fill>
      <patternFill patternType="solid">
        <fgColor rgb="FF7C878E"/>
        <bgColor indexed="64"/>
      </patternFill>
    </fill>
    <fill>
      <patternFill patternType="solid">
        <fgColor rgb="FFFFFF00"/>
        <bgColor indexed="64"/>
      </patternFill>
    </fill>
    <fill>
      <patternFill patternType="solid">
        <fgColor rgb="FFC0000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s>
  <cellStyleXfs count="3">
    <xf numFmtId="0" fontId="0" fillId="0" borderId="0"/>
    <xf numFmtId="43" fontId="28" fillId="0" borderId="0" applyFont="0" applyFill="0" applyBorder="0" applyAlignment="0" applyProtection="0"/>
    <xf numFmtId="0" fontId="30" fillId="0" borderId="0" applyNumberFormat="0" applyFill="0" applyBorder="0" applyAlignment="0" applyProtection="0"/>
  </cellStyleXfs>
  <cellXfs count="83">
    <xf numFmtId="0" fontId="0" fillId="0" borderId="0" xfId="0"/>
    <xf numFmtId="0" fontId="6" fillId="0" borderId="3" xfId="0" applyFont="1" applyBorder="1"/>
    <xf numFmtId="164" fontId="6" fillId="0" borderId="6" xfId="0" applyNumberFormat="1" applyFont="1" applyBorder="1" applyAlignment="1">
      <alignment horizontal="center"/>
    </xf>
    <xf numFmtId="0" fontId="4" fillId="0" borderId="3" xfId="0" applyFont="1" applyBorder="1"/>
    <xf numFmtId="164" fontId="4" fillId="0" borderId="6" xfId="0" applyNumberFormat="1" applyFont="1" applyBorder="1" applyAlignment="1">
      <alignment horizontal="center"/>
    </xf>
    <xf numFmtId="0" fontId="0" fillId="0" borderId="3" xfId="0" applyBorder="1"/>
    <xf numFmtId="0" fontId="0" fillId="0" borderId="6" xfId="0" applyBorder="1"/>
    <xf numFmtId="0" fontId="4" fillId="0" borderId="3" xfId="0" applyFont="1" applyBorder="1" applyAlignment="1">
      <alignment horizontal="center"/>
    </xf>
    <xf numFmtId="0" fontId="7" fillId="0" borderId="0" xfId="0" applyFont="1" applyAlignment="1">
      <alignment vertical="top" wrapText="1"/>
    </xf>
    <xf numFmtId="0" fontId="11" fillId="0" borderId="3" xfId="0" applyFont="1" applyBorder="1"/>
    <xf numFmtId="0" fontId="11" fillId="0" borderId="3" xfId="0" applyFont="1" applyBorder="1" applyAlignment="1">
      <alignment horizontal="left" indent="1"/>
    </xf>
    <xf numFmtId="0" fontId="13" fillId="0" borderId="0" xfId="0" applyFont="1"/>
    <xf numFmtId="0" fontId="13" fillId="0" borderId="0" xfId="0" applyFont="1" applyAlignment="1">
      <alignment vertical="top" wrapText="1"/>
    </xf>
    <xf numFmtId="0" fontId="14" fillId="3" borderId="6"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164" fontId="0" fillId="0" borderId="6" xfId="0" applyNumberFormat="1" applyBorder="1"/>
    <xf numFmtId="164" fontId="14" fillId="3" borderId="6" xfId="0" applyNumberFormat="1" applyFont="1" applyFill="1" applyBorder="1" applyAlignment="1" applyProtection="1">
      <alignment horizontal="center"/>
      <protection locked="0"/>
    </xf>
    <xf numFmtId="0" fontId="0" fillId="0" borderId="0" xfId="0" applyProtection="1">
      <protection locked="0"/>
    </xf>
    <xf numFmtId="0" fontId="13" fillId="0" borderId="0" xfId="0" applyFont="1" applyProtection="1">
      <protection locked="0"/>
    </xf>
    <xf numFmtId="0" fontId="7" fillId="0" borderId="0" xfId="0" applyFont="1" applyAlignment="1" applyProtection="1">
      <alignment vertical="top" wrapText="1"/>
      <protection locked="0"/>
    </xf>
    <xf numFmtId="0" fontId="6" fillId="0" borderId="0" xfId="0" applyFont="1" applyProtection="1">
      <protection locked="0"/>
    </xf>
    <xf numFmtId="0" fontId="15" fillId="0" borderId="0" xfId="0" applyFont="1" applyProtection="1">
      <protection locked="0"/>
    </xf>
    <xf numFmtId="0" fontId="5" fillId="0" borderId="0" xfId="0" applyFont="1" applyAlignment="1" applyProtection="1">
      <alignment wrapText="1"/>
      <protection locked="0"/>
    </xf>
    <xf numFmtId="0" fontId="6" fillId="0" borderId="2" xfId="0" applyFont="1" applyBorder="1" applyProtection="1">
      <protection locked="0"/>
    </xf>
    <xf numFmtId="0" fontId="4" fillId="0" borderId="1" xfId="0" applyFont="1" applyBorder="1" applyAlignment="1" applyProtection="1">
      <alignment horizontal="center"/>
      <protection locked="0"/>
    </xf>
    <xf numFmtId="0" fontId="17" fillId="0" borderId="0" xfId="0" applyFont="1"/>
    <xf numFmtId="0" fontId="9" fillId="2" borderId="3" xfId="0" applyFont="1" applyFill="1" applyBorder="1"/>
    <xf numFmtId="164" fontId="9" fillId="2" borderId="6" xfId="0" applyNumberFormat="1" applyFont="1" applyFill="1" applyBorder="1" applyAlignment="1">
      <alignment horizontal="center"/>
    </xf>
    <xf numFmtId="0" fontId="18" fillId="0" borderId="3" xfId="0" applyFont="1" applyBorder="1"/>
    <xf numFmtId="0" fontId="11" fillId="0" borderId="3" xfId="0" applyFont="1" applyBorder="1" applyAlignment="1">
      <alignment wrapText="1"/>
    </xf>
    <xf numFmtId="0" fontId="6" fillId="0" borderId="3" xfId="0" applyFont="1" applyBorder="1" applyProtection="1">
      <protection locked="0"/>
    </xf>
    <xf numFmtId="0" fontId="19" fillId="0" borderId="0" xfId="0" applyFont="1"/>
    <xf numFmtId="0" fontId="20" fillId="0" borderId="0" xfId="0" applyFont="1"/>
    <xf numFmtId="0" fontId="4" fillId="0" borderId="0" xfId="0" applyFont="1" applyAlignment="1">
      <alignment vertical="top" wrapText="1"/>
    </xf>
    <xf numFmtId="0" fontId="24" fillId="0" borderId="0" xfId="0" applyFont="1" applyProtection="1">
      <protection locked="0"/>
    </xf>
    <xf numFmtId="0" fontId="25" fillId="0" borderId="0" xfId="0" applyFont="1"/>
    <xf numFmtId="0" fontId="26" fillId="0" borderId="0" xfId="0" applyFont="1"/>
    <xf numFmtId="164" fontId="27" fillId="0" borderId="6" xfId="0" applyNumberFormat="1" applyFont="1" applyBorder="1" applyAlignment="1">
      <alignment horizontal="center"/>
    </xf>
    <xf numFmtId="0" fontId="11" fillId="0" borderId="3" xfId="0" applyFont="1" applyBorder="1" applyAlignment="1">
      <alignment vertical="top" wrapText="1"/>
    </xf>
    <xf numFmtId="0" fontId="11" fillId="0" borderId="4" xfId="0" applyFont="1" applyBorder="1" applyAlignment="1">
      <alignment horizontal="left" indent="1"/>
    </xf>
    <xf numFmtId="0" fontId="11" fillId="0" borderId="3" xfId="0" applyFont="1" applyBorder="1" applyAlignment="1">
      <alignment horizontal="left" vertical="top" wrapText="1" indent="1"/>
    </xf>
    <xf numFmtId="165" fontId="0" fillId="4" borderId="0" xfId="0" applyNumberFormat="1" applyFill="1"/>
    <xf numFmtId="0" fontId="3" fillId="4" borderId="0" xfId="0" applyFont="1" applyFill="1" applyAlignment="1">
      <alignment vertical="top" wrapText="1"/>
    </xf>
    <xf numFmtId="0" fontId="0" fillId="4" borderId="0" xfId="0" applyFill="1"/>
    <xf numFmtId="0" fontId="7" fillId="0" borderId="0" xfId="0" applyFont="1"/>
    <xf numFmtId="166" fontId="29" fillId="0" borderId="0" xfId="1" applyNumberFormat="1" applyFont="1" applyFill="1" applyBorder="1"/>
    <xf numFmtId="0" fontId="25" fillId="5" borderId="0" xfId="0" applyFont="1" applyFill="1" applyAlignment="1">
      <alignment horizontal="center"/>
    </xf>
    <xf numFmtId="0" fontId="13" fillId="0" borderId="0" xfId="0" applyFont="1" applyAlignment="1" applyProtection="1">
      <alignment horizontal="left" vertical="top" wrapText="1"/>
      <protection hidden="1"/>
    </xf>
    <xf numFmtId="0" fontId="31" fillId="0" borderId="0" xfId="2" applyFont="1" applyBorder="1" applyAlignment="1">
      <alignment horizontal="center" wrapText="1"/>
    </xf>
    <xf numFmtId="0" fontId="34" fillId="0" borderId="0" xfId="2" applyFont="1" applyBorder="1" applyAlignment="1">
      <alignment horizontal="center" wrapText="1"/>
    </xf>
    <xf numFmtId="0" fontId="35" fillId="0" borderId="4" xfId="2" applyFont="1" applyBorder="1" applyAlignment="1">
      <alignment horizontal="right" wrapText="1"/>
    </xf>
    <xf numFmtId="0" fontId="33" fillId="0" borderId="7" xfId="2" applyFont="1" applyBorder="1" applyAlignment="1">
      <alignment horizontal="center" wrapText="1"/>
    </xf>
    <xf numFmtId="0" fontId="0" fillId="5" borderId="0" xfId="0" applyFill="1"/>
    <xf numFmtId="0" fontId="36" fillId="0" borderId="4" xfId="2" applyFont="1" applyBorder="1" applyAlignment="1" applyProtection="1">
      <alignment horizontal="left" wrapText="1"/>
    </xf>
    <xf numFmtId="0" fontId="36" fillId="0" borderId="7" xfId="2" applyFont="1" applyBorder="1" applyAlignment="1" applyProtection="1">
      <alignment horizontal="left" wrapText="1"/>
    </xf>
    <xf numFmtId="0" fontId="36" fillId="0" borderId="3" xfId="2" applyFont="1" applyBorder="1" applyAlignment="1">
      <alignment horizontal="left" wrapText="1"/>
    </xf>
    <xf numFmtId="0" fontId="32" fillId="0" borderId="6" xfId="0" applyFont="1" applyBorder="1" applyAlignment="1">
      <alignment horizontal="left" wrapText="1"/>
    </xf>
    <xf numFmtId="0" fontId="4" fillId="0" borderId="3" xfId="0" applyFont="1" applyBorder="1" applyAlignment="1">
      <alignment horizontal="center" vertical="top" wrapText="1"/>
    </xf>
    <xf numFmtId="0" fontId="4" fillId="0" borderId="0" xfId="0" applyFont="1" applyAlignment="1">
      <alignment horizontal="center" vertical="top" wrapText="1"/>
    </xf>
    <xf numFmtId="0" fontId="4" fillId="0" borderId="6" xfId="0" applyFont="1" applyBorder="1" applyAlignment="1">
      <alignment horizontal="center" vertical="top" wrapText="1"/>
    </xf>
    <xf numFmtId="0" fontId="4" fillId="0" borderId="4" xfId="0" applyFont="1" applyBorder="1" applyAlignment="1">
      <alignment horizontal="center" vertical="top" wrapText="1"/>
    </xf>
    <xf numFmtId="0" fontId="4" fillId="0" borderId="8" xfId="0" applyFont="1" applyBorder="1" applyAlignment="1">
      <alignment horizontal="center" vertical="top" wrapText="1"/>
    </xf>
    <xf numFmtId="0" fontId="4" fillId="0" borderId="7" xfId="0" applyFont="1" applyBorder="1" applyAlignment="1">
      <alignment horizontal="center" vertical="top" wrapText="1"/>
    </xf>
    <xf numFmtId="0" fontId="10" fillId="0" borderId="9" xfId="0" applyFont="1" applyBorder="1" applyAlignment="1" applyProtection="1">
      <alignment horizontal="center"/>
      <protection locked="0"/>
    </xf>
    <xf numFmtId="0" fontId="10" fillId="0" borderId="10" xfId="0" applyFont="1" applyBorder="1" applyAlignment="1" applyProtection="1">
      <alignment horizontal="center"/>
      <protection locked="0"/>
    </xf>
    <xf numFmtId="0" fontId="10" fillId="0" borderId="11" xfId="0" applyFont="1" applyBorder="1" applyAlignment="1" applyProtection="1">
      <alignment horizontal="center"/>
      <protection locked="0"/>
    </xf>
    <xf numFmtId="0" fontId="37" fillId="0" borderId="3" xfId="0" applyFont="1" applyBorder="1" applyAlignment="1">
      <alignment wrapText="1"/>
    </xf>
    <xf numFmtId="0" fontId="37" fillId="0" borderId="6" xfId="0" applyFont="1" applyBorder="1" applyAlignment="1">
      <alignment wrapText="1"/>
    </xf>
    <xf numFmtId="0" fontId="8" fillId="0" borderId="2" xfId="0" applyFont="1" applyBorder="1" applyAlignment="1">
      <alignment horizontal="center"/>
    </xf>
    <xf numFmtId="0" fontId="8" fillId="0" borderId="5" xfId="0" applyFont="1" applyBorder="1" applyAlignment="1">
      <alignment horizontal="center"/>
    </xf>
    <xf numFmtId="0" fontId="12" fillId="0" borderId="0" xfId="0" applyFont="1" applyAlignment="1">
      <alignment horizontal="center" wrapText="1"/>
    </xf>
    <xf numFmtId="0" fontId="5" fillId="0" borderId="0" xfId="0" applyFont="1" applyAlignment="1">
      <alignment horizontal="center" wrapText="1"/>
    </xf>
    <xf numFmtId="0" fontId="13" fillId="0" borderId="0" xfId="0" applyFont="1" applyAlignment="1" applyProtection="1">
      <alignment horizontal="left" vertical="top" wrapText="1"/>
      <protection hidden="1"/>
    </xf>
    <xf numFmtId="0" fontId="17" fillId="0" borderId="3" xfId="0" applyFont="1" applyBorder="1" applyAlignment="1">
      <alignment horizontal="left" wrapText="1"/>
    </xf>
    <xf numFmtId="0" fontId="17" fillId="0" borderId="6" xfId="0" applyFont="1" applyBorder="1" applyAlignment="1">
      <alignment horizontal="left" wrapText="1"/>
    </xf>
    <xf numFmtId="0" fontId="31" fillId="0" borderId="3" xfId="2" applyFont="1" applyBorder="1" applyAlignment="1" applyProtection="1">
      <alignment horizontal="center" vertical="center" wrapText="1"/>
    </xf>
    <xf numFmtId="0" fontId="31" fillId="0" borderId="6" xfId="2" applyFont="1" applyBorder="1" applyAlignment="1" applyProtection="1">
      <alignment horizontal="center" vertical="center" wrapText="1"/>
    </xf>
    <xf numFmtId="0" fontId="38" fillId="0" borderId="4" xfId="2" applyFont="1" applyBorder="1" applyAlignment="1" applyProtection="1">
      <alignment horizontal="center" vertical="center" wrapText="1"/>
    </xf>
    <xf numFmtId="0" fontId="31" fillId="0" borderId="7" xfId="2" applyFont="1" applyBorder="1" applyAlignment="1" applyProtection="1">
      <alignment horizontal="center" vertical="center" wrapText="1"/>
    </xf>
    <xf numFmtId="0" fontId="18" fillId="0" borderId="3" xfId="0" applyFont="1" applyBorder="1" applyAlignment="1">
      <alignment horizontal="left" wrapText="1"/>
    </xf>
    <xf numFmtId="0" fontId="18" fillId="0" borderId="6" xfId="0" applyFont="1" applyBorder="1" applyAlignment="1">
      <alignment horizontal="left" wrapText="1"/>
    </xf>
    <xf numFmtId="0" fontId="1" fillId="0" borderId="12" xfId="0" applyFont="1" applyBorder="1" applyAlignment="1">
      <alignment horizontal="center"/>
    </xf>
    <xf numFmtId="0" fontId="25" fillId="4" borderId="0" xfId="0" applyFont="1" applyFill="1" applyAlignment="1">
      <alignment horizontal="center"/>
    </xf>
  </cellXfs>
  <cellStyles count="3">
    <cellStyle name="Comma" xfId="1" builtinId="3"/>
    <cellStyle name="Hyperlink" xfId="2" builtinId="8"/>
    <cellStyle name="Normal" xfId="0" builtinId="0"/>
  </cellStyles>
  <dxfs count="6">
    <dxf>
      <font>
        <color rgb="FF000E2F"/>
      </font>
    </dxf>
    <dxf>
      <font>
        <b/>
        <i/>
        <color rgb="FF000E2F"/>
      </font>
    </dxf>
    <dxf>
      <font>
        <b/>
        <i/>
        <color rgb="FF000E2F"/>
      </font>
    </dxf>
    <dxf>
      <font>
        <color rgb="FFFF0000"/>
      </font>
    </dxf>
    <dxf>
      <font>
        <color rgb="FFEF002B"/>
      </font>
    </dxf>
    <dxf>
      <font>
        <color rgb="FFEF002B"/>
      </font>
    </dxf>
  </dxfs>
  <tableStyles count="0" defaultTableStyle="TableStyleMedium2" defaultPivotStyle="PivotStyleLight16"/>
  <colors>
    <mruColors>
      <color rgb="FFEF002B"/>
      <color rgb="FF000E2F"/>
      <color rgb="FF7C878E"/>
      <color rgb="FF4C5358"/>
      <color rgb="FF616B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2790825</xdr:colOff>
      <xdr:row>1</xdr:row>
      <xdr:rowOff>0</xdr:rowOff>
    </xdr:from>
    <xdr:to>
      <xdr:col>2</xdr:col>
      <xdr:colOff>1952625</xdr:colOff>
      <xdr:row>5</xdr:row>
      <xdr:rowOff>160020</xdr:rowOff>
    </xdr:to>
    <xdr:pic>
      <xdr:nvPicPr>
        <xdr:cNvPr id="2" name="Picture 1" descr="Logo&#10;&#10;Description automatically generated">
          <a:extLst>
            <a:ext uri="{FF2B5EF4-FFF2-40B4-BE49-F238E27FC236}">
              <a16:creationId xmlns:a16="http://schemas.microsoft.com/office/drawing/2014/main" id="{52676488-EAE9-A93F-9E50-6E6D145BA269}"/>
            </a:ext>
          </a:extLst>
        </xdr:cNvPr>
        <xdr:cNvPicPr>
          <a:picLocks noChangeAspect="1"/>
        </xdr:cNvPicPr>
      </xdr:nvPicPr>
      <xdr:blipFill>
        <a:blip xmlns:r="http://schemas.openxmlformats.org/officeDocument/2006/relationships" r:embed="rId1"/>
        <a:stretch>
          <a:fillRect/>
        </a:stretch>
      </xdr:blipFill>
      <xdr:spPr>
        <a:xfrm>
          <a:off x="3400425" y="200025"/>
          <a:ext cx="2562225" cy="108394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AC9E3-8AFB-43FE-9F29-77201BD8C48F}">
  <sheetPr codeName="Sheet1"/>
  <dimension ref="A1:L80"/>
  <sheetViews>
    <sheetView showGridLines="0" tabSelected="1" zoomScaleNormal="100" workbookViewId="0">
      <selection activeCell="G20" sqref="G20"/>
    </sheetView>
  </sheetViews>
  <sheetFormatPr defaultRowHeight="15" x14ac:dyDescent="0.25"/>
  <cols>
    <col min="2" max="2" width="51" customWidth="1"/>
    <col min="3" max="3" width="69.140625" customWidth="1"/>
    <col min="4" max="4" width="14.7109375" customWidth="1"/>
    <col min="5" max="5" width="42.85546875" bestFit="1" customWidth="1"/>
    <col min="6" max="6" width="12.7109375" bestFit="1" customWidth="1"/>
    <col min="9" max="9" width="15.140625" customWidth="1"/>
  </cols>
  <sheetData>
    <row r="1" spans="1:9" ht="15.75" thickBot="1" x14ac:dyDescent="0.3">
      <c r="A1" s="21"/>
      <c r="B1" s="17"/>
      <c r="C1" s="17"/>
      <c r="D1" s="17"/>
      <c r="E1" s="17"/>
      <c r="F1" s="17"/>
      <c r="G1" s="17"/>
      <c r="H1" s="17"/>
      <c r="I1" s="17"/>
    </row>
    <row r="2" spans="1:9" ht="21.75" thickBot="1" x14ac:dyDescent="0.4">
      <c r="A2" s="17"/>
      <c r="B2" s="17"/>
      <c r="C2" s="17"/>
      <c r="D2" s="17"/>
      <c r="E2" s="63" t="s">
        <v>55</v>
      </c>
      <c r="F2" s="64"/>
      <c r="G2" s="64"/>
      <c r="H2" s="64"/>
      <c r="I2" s="65"/>
    </row>
    <row r="3" spans="1:9" ht="18.75" customHeight="1" x14ac:dyDescent="0.25">
      <c r="A3" s="17"/>
      <c r="B3" s="17"/>
      <c r="C3" s="17"/>
      <c r="D3" s="17"/>
      <c r="E3" s="57" t="s">
        <v>166</v>
      </c>
      <c r="F3" s="58"/>
      <c r="G3" s="58"/>
      <c r="H3" s="58"/>
      <c r="I3" s="59"/>
    </row>
    <row r="4" spans="1:9" ht="21" customHeight="1" x14ac:dyDescent="0.25">
      <c r="A4" s="17"/>
      <c r="B4" s="17"/>
      <c r="C4" s="17"/>
      <c r="D4" s="17"/>
      <c r="E4" s="57"/>
      <c r="F4" s="58"/>
      <c r="G4" s="58"/>
      <c r="H4" s="58"/>
      <c r="I4" s="59"/>
    </row>
    <row r="5" spans="1:9" ht="11.25" customHeight="1" x14ac:dyDescent="0.25">
      <c r="A5" s="17"/>
      <c r="B5" s="17"/>
      <c r="C5" s="17"/>
      <c r="D5" s="17"/>
      <c r="E5" s="57"/>
      <c r="F5" s="58"/>
      <c r="G5" s="58"/>
      <c r="H5" s="58"/>
      <c r="I5" s="59"/>
    </row>
    <row r="6" spans="1:9" ht="15" customHeight="1" x14ac:dyDescent="0.25">
      <c r="A6" s="17"/>
      <c r="B6" s="17"/>
      <c r="C6" s="17"/>
      <c r="D6" s="17"/>
      <c r="E6" s="57"/>
      <c r="F6" s="58"/>
      <c r="G6" s="58"/>
      <c r="H6" s="58"/>
      <c r="I6" s="59"/>
    </row>
    <row r="7" spans="1:9" ht="52.5" customHeight="1" thickBot="1" x14ac:dyDescent="0.35">
      <c r="A7" s="17"/>
      <c r="B7" s="70" t="s">
        <v>165</v>
      </c>
      <c r="C7" s="71"/>
      <c r="D7" s="22"/>
      <c r="E7" s="60"/>
      <c r="F7" s="61"/>
      <c r="G7" s="61"/>
      <c r="H7" s="61"/>
      <c r="I7" s="62"/>
    </row>
    <row r="8" spans="1:9" ht="19.5" customHeight="1" thickBot="1" x14ac:dyDescent="0.35">
      <c r="A8" s="17"/>
      <c r="B8" s="20"/>
      <c r="C8" s="20"/>
      <c r="D8" s="17"/>
      <c r="E8" s="33"/>
      <c r="F8" s="33"/>
      <c r="G8" s="33"/>
      <c r="H8" s="33"/>
      <c r="I8" s="33"/>
    </row>
    <row r="9" spans="1:9" ht="19.5" customHeight="1" thickBot="1" x14ac:dyDescent="0.35">
      <c r="A9" s="17"/>
      <c r="B9" s="23"/>
      <c r="C9" s="24" t="s">
        <v>57</v>
      </c>
      <c r="D9" s="17"/>
      <c r="E9" s="8"/>
      <c r="F9" s="8"/>
      <c r="G9" s="8"/>
      <c r="H9" s="8"/>
      <c r="I9" s="8"/>
    </row>
    <row r="10" spans="1:9" ht="19.5" customHeight="1" x14ac:dyDescent="0.3">
      <c r="A10" s="17"/>
      <c r="B10" s="30" t="s">
        <v>58</v>
      </c>
      <c r="C10" s="13" t="s">
        <v>64</v>
      </c>
      <c r="D10" s="17"/>
      <c r="E10" s="8"/>
      <c r="F10" s="8"/>
      <c r="G10" s="8"/>
      <c r="H10" s="8"/>
      <c r="I10" s="8"/>
    </row>
    <row r="11" spans="1:9" ht="19.5" customHeight="1" x14ac:dyDescent="0.3">
      <c r="A11" s="17"/>
      <c r="B11" s="30" t="s">
        <v>63</v>
      </c>
      <c r="C11" s="13" t="s">
        <v>64</v>
      </c>
      <c r="D11" s="32"/>
      <c r="E11" s="8"/>
      <c r="F11" s="8"/>
      <c r="G11" s="8"/>
      <c r="H11" s="8"/>
      <c r="I11" s="8"/>
    </row>
    <row r="12" spans="1:9" ht="18.75" customHeight="1" x14ac:dyDescent="0.3">
      <c r="A12" s="17"/>
      <c r="B12" s="9" t="s">
        <v>17</v>
      </c>
      <c r="C12" s="13" t="s">
        <v>64</v>
      </c>
      <c r="D12" s="17"/>
      <c r="E12" s="8"/>
      <c r="F12" s="8"/>
      <c r="G12" s="8"/>
      <c r="H12" s="8"/>
      <c r="I12" s="8"/>
    </row>
    <row r="13" spans="1:9" ht="18.75" customHeight="1" x14ac:dyDescent="0.3">
      <c r="A13" s="17"/>
      <c r="B13" s="9" t="s">
        <v>0</v>
      </c>
      <c r="C13" s="13" t="s">
        <v>64</v>
      </c>
      <c r="D13" s="35" t="str">
        <f>IF(C13="New England Regional", "Only qualifying programs are eligible for this rate.  Visit bursar.uconn.edu/tuition-fees/new-england-regional-program/ for more information."," ")</f>
        <v xml:space="preserve"> </v>
      </c>
    </row>
    <row r="14" spans="1:9" ht="18.75" customHeight="1" x14ac:dyDescent="0.3">
      <c r="A14" s="17"/>
      <c r="B14" s="9" t="s">
        <v>48</v>
      </c>
      <c r="C14" s="13" t="s">
        <v>64</v>
      </c>
      <c r="D14" s="17"/>
      <c r="E14" s="19"/>
      <c r="F14" s="19"/>
      <c r="G14" s="19"/>
      <c r="H14" s="19"/>
      <c r="I14" s="19"/>
    </row>
    <row r="15" spans="1:9" ht="21" x14ac:dyDescent="0.3">
      <c r="A15" s="17"/>
      <c r="B15" s="29" t="s">
        <v>56</v>
      </c>
      <c r="C15" s="13" t="s">
        <v>64</v>
      </c>
      <c r="D15" s="36" t="str">
        <f>IF(AND(C10="Spring",C11="Yes - Starting in Spring",C15="No",C14="12+"),"Health insurance is automatically billed to full-time students and must be waived by February 5th",IF(AND(C10="Fall",C15="No","12+"),"Health insurance is automatically billed to full-time students and must be waived by September 15th",IF(AND(C14&lt;&gt;"12+",C15="Yes"),"Part-time students are not automatically enrolled in Univeristy health insurance. To voluntarily enroll, please call 860-486-4535."," ")))</f>
        <v xml:space="preserve"> </v>
      </c>
      <c r="E15" s="19"/>
      <c r="F15" s="19"/>
      <c r="G15" s="19"/>
      <c r="H15" s="19"/>
      <c r="I15" s="19"/>
    </row>
    <row r="16" spans="1:9" ht="18.75" customHeight="1" x14ac:dyDescent="0.3">
      <c r="A16" s="17"/>
      <c r="B16" s="9" t="s">
        <v>61</v>
      </c>
      <c r="C16" s="13" t="s">
        <v>64</v>
      </c>
      <c r="D16" s="31" t="str">
        <f>IF(C16="No","Students who choose to opt-out of the Husky Book Bundle program must do so before the 10th day of each semester"," ")</f>
        <v xml:space="preserve"> </v>
      </c>
      <c r="E16" s="19"/>
      <c r="F16" s="19"/>
      <c r="G16" s="19"/>
      <c r="H16" s="19"/>
      <c r="I16" s="19"/>
    </row>
    <row r="17" spans="1:10" ht="18.75" customHeight="1" x14ac:dyDescent="0.3">
      <c r="A17" s="17"/>
      <c r="B17" s="9" t="s">
        <v>45</v>
      </c>
      <c r="C17" s="13" t="s">
        <v>64</v>
      </c>
      <c r="D17" s="11" t="str">
        <f>IF(AND(C12&lt;&gt;"Stamford",C17="Yes - Stamford"),"Only Stamford students can live on the Stamford Campus.  Please change your selection.",IF(AND(C17="Yes - Hartford",OR(C12="Storrs",C12="Stamford",C12="Waterbury")),"Only Hartford and Avery Point students may live at the Hartford Campus. Please change your selection",IF(AND(C17="Yes - Storrs",C12&lt;&gt;"Storrs"),"Only Storrs students may live at the Storrs campus.  Please change to your selection.",IF(AND(C11="Yes - Starting in Fall",C17="No",C12="Storrs"),"Please change to Yes.  All first year Storrs students must live on campus.",IF(AND(C11="Yes - Starting in Spring",C17="No",C12="Storrs"),"Please change to Yes.  All first year Storrs students must live on campus."," ")))))</f>
        <v xml:space="preserve"> </v>
      </c>
      <c r="E17" s="8"/>
      <c r="F17" s="8"/>
      <c r="G17" s="8"/>
      <c r="H17" s="8"/>
      <c r="I17" s="8"/>
    </row>
    <row r="18" spans="1:10" ht="18.75" customHeight="1" x14ac:dyDescent="0.3">
      <c r="A18" s="17"/>
      <c r="B18" s="10" t="s">
        <v>46</v>
      </c>
      <c r="C18" s="13" t="s">
        <v>64</v>
      </c>
      <c r="D18" s="72" t="str">
        <f>IF(C18="Select Option"," ",IF(AND(C17="Yes - Storrs",C18&lt;&gt;"None")," ",IF(AND(C17="Yes - Storrs",C18="None"),"Please choose Housing Selection",IF(AND(C17&lt;&gt;"Yes - Storrs",C18&lt;&gt;"None"),"Please change field to None if you are not living on the Storrs campus."," "))))</f>
        <v xml:space="preserve"> </v>
      </c>
      <c r="E18" s="72"/>
      <c r="F18" s="12"/>
      <c r="G18" s="12"/>
      <c r="H18" s="12"/>
      <c r="I18" s="12"/>
    </row>
    <row r="19" spans="1:10" ht="18.75" customHeight="1" x14ac:dyDescent="0.3">
      <c r="A19" s="17"/>
      <c r="B19" s="10" t="s">
        <v>160</v>
      </c>
      <c r="C19" s="13" t="s">
        <v>64</v>
      </c>
      <c r="D19" s="11" t="str">
        <f>IF(C19="Select Option"," ",IF(C19="Select Option"," ",IF(AND(C17="Yes - Hartford",C19&lt;&gt;"None")," ",IF(AND(C17="Yes - Hartford",C19="None"),"Please choose Housing Selection",IF(AND(C17&lt;&gt;"Yes - Hartford",C19&lt;&gt;"None"),"Please change field to None if you are not living on the Hartford campus."," ")))))</f>
        <v xml:space="preserve"> </v>
      </c>
      <c r="E19" s="47"/>
      <c r="F19" s="12"/>
      <c r="G19" s="12"/>
      <c r="H19" s="12"/>
      <c r="I19" s="12"/>
    </row>
    <row r="20" spans="1:10" ht="18.75" customHeight="1" x14ac:dyDescent="0.3">
      <c r="A20" s="17"/>
      <c r="B20" s="10" t="s">
        <v>47</v>
      </c>
      <c r="C20" s="13" t="s">
        <v>64</v>
      </c>
      <c r="D20" s="11" t="str">
        <f>IF(C20="Select Option"," ",IF(C20="Select Option"," ",IF(AND(C17="Yes - Stamford",C20&lt;&gt;"None")," ",IF(AND(C17="Yes - Stamford",C20="None"),"Please choose Housing Selection",IF(AND(C17&lt;&gt;"Yes - Stamford",C20&lt;&gt;"None"),"Please change field to None if you are not living on the Stamford campus."," ")))))</f>
        <v xml:space="preserve"> </v>
      </c>
      <c r="E20" s="8"/>
      <c r="F20" s="8"/>
      <c r="G20" s="8"/>
      <c r="H20" s="8"/>
      <c r="I20" s="8"/>
    </row>
    <row r="21" spans="1:10" ht="18.75" customHeight="1" x14ac:dyDescent="0.3">
      <c r="A21" s="17"/>
      <c r="B21" s="38" t="s">
        <v>131</v>
      </c>
      <c r="C21" s="13" t="s">
        <v>64</v>
      </c>
      <c r="D21" s="11" t="str">
        <f>IF(C21="Select Option"," ",IF(OR(AND(C21&lt;&gt;"No",C12="Hartford",C17&lt;&gt;"Yes - Storrs"),AND(C21&lt;&gt;"No",C12="Waterbury",C17&lt;&gt;"Yes - Storrs")),"Please change to No.  Only students living on the Storrs campus or attending Avery Point or Stamford campuses may have a meal plan.",IF(AND(C12="Storrs",C17="Yes - Storrs",C21&lt;&gt;"Yes - Storrs"),"Students living on the Storrs campus may only have a Storrs meal plan.",IF(OR(AND(C12="Stamford",C21="Yes - Storrs"),AND(C12="Stamford",C21="Yes - Avery Point")),"Stamford students may only choose a Stamford meal plan. Please change your selection.",IF(OR(AND(C12="Avery Point",C17&lt;&gt;"Yes - Storrs",C21="Yes - Storrs"),AND(C12="Avery Point",C17&lt;&gt;"Yes - Storrs",C21="Yes - Stamford")),"Avery Point students may only choose an Avery Point meal plan. Please change your selection.",IF(AND(ISERROR(SEARCH("apartment",C18)),C21="No",C17="Yes - Storrs"),"Please choose meal plan.  All students living on the Storrs campus in a dorm or suite are required to have a meal plan.",IF(AND(C17&lt;&gt;"Yes - Storrs",C21="No")," "," ")))))))</f>
        <v xml:space="preserve"> </v>
      </c>
      <c r="E21" s="8"/>
      <c r="F21" s="8"/>
      <c r="G21" s="8"/>
      <c r="H21" s="8"/>
      <c r="I21" s="8"/>
    </row>
    <row r="22" spans="1:10" ht="18.75" customHeight="1" x14ac:dyDescent="0.3">
      <c r="A22" s="17"/>
      <c r="B22" s="40" t="s">
        <v>128</v>
      </c>
      <c r="C22" s="13" t="s">
        <v>64</v>
      </c>
      <c r="D22" s="11" t="str">
        <f>IF(AND(C21&lt;&gt;"Yes - Storrs",C22&lt;&gt;"None")*AND(C21&lt;&gt;"Yes - Storrs",C22&lt;&gt;"Select Option"),"Please review and correct meal plan responses.",IF(OR(AND(C21="Yes - Storrs",C22="None"),AND(C21="Yes - Storrs",C22="Select Option")),"Please make meal plan selection."," "))</f>
        <v xml:space="preserve"> </v>
      </c>
      <c r="E22" s="8"/>
      <c r="F22" s="8"/>
      <c r="G22" s="8"/>
      <c r="H22" s="8"/>
      <c r="I22" s="8"/>
    </row>
    <row r="23" spans="1:10" ht="18.75" customHeight="1" x14ac:dyDescent="0.3">
      <c r="A23" s="17"/>
      <c r="B23" s="10" t="s">
        <v>129</v>
      </c>
      <c r="C23" s="13" t="s">
        <v>64</v>
      </c>
      <c r="D23" s="11" t="str">
        <f>IF(OR(AND(C21&lt;&gt;"Yes - Avery Point",C23&lt;&gt;"None")*AND(C21&lt;&gt;"Yes - Avery Point",C23&lt;&gt;"Select Option")),"Please review and correct meal plan responses.",IF(OR(AND(C21="Yes - Avery Point",C23="None"),AND(C21="Yes - Avery Point",C23="Select Option")),"Please make meal plan selection."," "))</f>
        <v xml:space="preserve"> </v>
      </c>
      <c r="E23" s="8"/>
      <c r="F23" s="8"/>
      <c r="G23" s="8"/>
      <c r="H23" s="8"/>
      <c r="I23" s="8"/>
    </row>
    <row r="24" spans="1:10" ht="18.75" customHeight="1" x14ac:dyDescent="0.3">
      <c r="A24" s="17"/>
      <c r="B24" s="10" t="s">
        <v>180</v>
      </c>
      <c r="C24" s="13" t="s">
        <v>64</v>
      </c>
      <c r="D24" s="11" t="str">
        <f>IF(OR(AND(C21&lt;&gt;"Yes - Hartford",C24&lt;&gt;"None")*AND(C21&lt;&gt;"Yes - Hartford",C24&lt;&gt;"Select Option")),"Please review and correct meal plan responses.",IF(OR(AND(C21="Yes - Hartford",C24="None"),AND(C21="Yes - Hartford",C24="Select Option")),"Please make meal plan selection."," "))</f>
        <v xml:space="preserve"> </v>
      </c>
      <c r="E24" s="8"/>
      <c r="F24" s="8"/>
      <c r="G24" s="8"/>
      <c r="H24" s="8"/>
      <c r="I24" s="8"/>
    </row>
    <row r="25" spans="1:10" ht="18.75" customHeight="1" thickBot="1" x14ac:dyDescent="0.35">
      <c r="A25" s="17"/>
      <c r="B25" s="39" t="s">
        <v>130</v>
      </c>
      <c r="C25" s="14" t="s">
        <v>64</v>
      </c>
      <c r="D25" s="11" t="str">
        <f>IF(OR(AND(C21&lt;&gt;"Yes - Stamford",C25&lt;&gt;"None")*AND(C21&lt;&gt;"Yes - Stamford",C25&lt;&gt;"Select Option")),"Please review and correct meal plan responses.",IF(OR(AND(C21="Yes - Stamford",C25="None"),AND(C21="Yes - Stamford",C25="Select Option")),"Please make meal plan selection."," "))</f>
        <v xml:space="preserve"> </v>
      </c>
      <c r="E25" s="8"/>
      <c r="F25" s="8"/>
      <c r="G25" s="8"/>
      <c r="H25" s="8"/>
      <c r="I25" s="8"/>
    </row>
    <row r="26" spans="1:10" ht="18.75" customHeight="1" x14ac:dyDescent="0.25">
      <c r="A26" s="17"/>
      <c r="B26" s="75" t="str">
        <f>HYPERLINK("https://reslife.uconn.edu/living-on-campus/room-rates/","Click here for detail on Storrs housing rates")</f>
        <v>Click here for detail on Storrs housing rates</v>
      </c>
      <c r="C26" s="76"/>
      <c r="D26" s="11"/>
      <c r="E26" s="8"/>
      <c r="F26" s="8"/>
      <c r="G26" s="8"/>
      <c r="H26" s="8"/>
      <c r="I26" s="8"/>
    </row>
    <row r="27" spans="1:10" ht="18.75" customHeight="1" x14ac:dyDescent="0.25">
      <c r="A27" s="17"/>
      <c r="B27" s="75" t="str">
        <f>HYPERLINK("https://reslife.uconn.edu/housing-options/specialty-housing/storrs-housing-for-uconn-avery-point-and-hartford-students/","Click here for detail on Hartford housing rates")</f>
        <v>Click here for detail on Hartford housing rates</v>
      </c>
      <c r="C27" s="76"/>
      <c r="D27" s="11"/>
      <c r="E27" s="8"/>
      <c r="F27" s="8"/>
      <c r="G27" s="8"/>
      <c r="H27" s="8"/>
      <c r="I27" s="8"/>
    </row>
    <row r="28" spans="1:10" ht="18.75" customHeight="1" x14ac:dyDescent="0.25">
      <c r="A28" s="17"/>
      <c r="B28" s="75" t="str">
        <f>HYPERLINK("https://reslife.uconn.edu/stamford/","Click here for detail on Stamford housing rates")</f>
        <v>Click here for detail on Stamford housing rates</v>
      </c>
      <c r="C28" s="76"/>
      <c r="D28" s="11"/>
      <c r="E28" s="8"/>
      <c r="F28" s="8"/>
      <c r="G28" s="8"/>
      <c r="H28" s="8"/>
      <c r="I28" s="8"/>
    </row>
    <row r="29" spans="1:10" ht="18.75" customHeight="1" thickBot="1" x14ac:dyDescent="0.3">
      <c r="A29" s="17"/>
      <c r="B29" s="77" t="str">
        <f>HYPERLINK("https://dining.uconn.edu/meal-plans/","Click here for detail on Meal Plans")</f>
        <v>Click here for detail on Meal Plans</v>
      </c>
      <c r="C29" s="78"/>
      <c r="E29" s="8"/>
      <c r="F29" s="8"/>
      <c r="G29" s="8"/>
      <c r="H29" s="8"/>
      <c r="I29" s="8"/>
    </row>
    <row r="30" spans="1:10" ht="21" x14ac:dyDescent="0.25">
      <c r="A30" s="17"/>
      <c r="B30" s="48"/>
      <c r="C30" s="48"/>
      <c r="E30" s="8"/>
      <c r="F30" s="8"/>
      <c r="G30" s="8"/>
      <c r="H30" s="8"/>
      <c r="I30" s="8"/>
    </row>
    <row r="31" spans="1:10" ht="19.5" thickBot="1" x14ac:dyDescent="0.35">
      <c r="A31" s="17"/>
      <c r="B31" s="20"/>
      <c r="C31" s="20"/>
      <c r="D31" s="17"/>
      <c r="E31" s="17"/>
      <c r="F31" s="17"/>
      <c r="G31" s="17"/>
      <c r="H31" s="17"/>
      <c r="I31" s="17"/>
      <c r="J31" s="17"/>
    </row>
    <row r="32" spans="1:10" ht="23.25" x14ac:dyDescent="0.35">
      <c r="A32" s="17"/>
      <c r="B32" s="68" t="s">
        <v>54</v>
      </c>
      <c r="C32" s="69"/>
      <c r="D32" s="17"/>
      <c r="E32" s="17"/>
      <c r="F32" s="17"/>
      <c r="G32" s="17"/>
      <c r="H32" s="17"/>
      <c r="I32" s="17"/>
    </row>
    <row r="33" spans="1:9" ht="18.75" x14ac:dyDescent="0.3">
      <c r="A33" s="17"/>
      <c r="B33" s="1" t="s">
        <v>1</v>
      </c>
      <c r="C33" s="2" t="str">
        <f>_xlfn.IFNA(VLOOKUP((CONCATENATE(C13&amp;" "&amp;C14)), 'Fee Breakdown'!B4:C39,2,FALSE),"Please correct selections above.")</f>
        <v>Please correct selections above.</v>
      </c>
      <c r="D33" s="17"/>
      <c r="E33" s="17"/>
      <c r="F33" s="17"/>
      <c r="G33" s="17"/>
      <c r="H33" s="17"/>
      <c r="I33" s="17"/>
    </row>
    <row r="34" spans="1:9" ht="18.75" x14ac:dyDescent="0.3">
      <c r="A34" s="17"/>
      <c r="B34" s="1" t="s">
        <v>4</v>
      </c>
      <c r="C34" s="37" t="str">
        <f>_xlfn.IFNA(IF(C17="Yes - Storrs",VLOOKUP(CONCATENATE("Storrs"&amp;" "&amp;C14),'Fee Breakdown'!E:F,2,FALSE),VLOOKUP(CONCATENATE(C12&amp;" "&amp;C14),'Fee Breakdown'!E:F,2,FALSE)),"Please correct selections above.")</f>
        <v>Please correct selections above.</v>
      </c>
      <c r="D34" s="17"/>
      <c r="E34" s="17"/>
      <c r="F34" s="17"/>
      <c r="G34" s="17"/>
      <c r="H34" s="17"/>
      <c r="I34" s="17"/>
    </row>
    <row r="35" spans="1:9" ht="18.75" x14ac:dyDescent="0.3">
      <c r="A35" s="17"/>
      <c r="B35" s="1" t="s">
        <v>60</v>
      </c>
      <c r="C35" s="2">
        <f>IF(AND(C10="Fall",C15="Yes"),'Fee Breakdown'!J4,IF(AND(C10="Spring",C11="Yes - Starting in Spring",C15="Yes"),'Fee Breakdown'!J5,0))</f>
        <v>0</v>
      </c>
      <c r="D35" s="17"/>
      <c r="E35" s="17"/>
      <c r="F35" s="17"/>
      <c r="G35" s="17"/>
      <c r="H35" s="17"/>
      <c r="I35" s="17"/>
    </row>
    <row r="36" spans="1:9" ht="18.75" x14ac:dyDescent="0.3">
      <c r="A36" s="17"/>
      <c r="B36" s="1" t="s">
        <v>59</v>
      </c>
      <c r="C36" s="2">
        <f>IF(AND(C16="Yes",C14="12+"),'Fee Breakdown'!J8,IF(AND(C16="Yes",C14&lt;5),'Fee Breakdown'!J6,IF(AND(C16="Yes",4&lt;C14,C14&lt;12),'Fee Breakdown'!J7,0)))</f>
        <v>0</v>
      </c>
      <c r="D36" s="17"/>
      <c r="E36" s="17"/>
      <c r="F36" s="17"/>
      <c r="G36" s="17"/>
      <c r="H36" s="17"/>
      <c r="I36" s="17"/>
    </row>
    <row r="37" spans="1:9" ht="18.75" x14ac:dyDescent="0.3">
      <c r="A37" s="17"/>
      <c r="B37" s="1" t="s">
        <v>2</v>
      </c>
      <c r="C37" s="2" t="str" cm="1">
        <f t="array" ref="C37">_xlfn.IFNA(_xlfn.IFS(C17="Yes - Storrs",VLOOKUP(C18,'Fee Breakdown'!L4:M29,2,FALSE),C17="Yes - Stamford",VLOOKUP(C20,'Fee Breakdown'!L19:M20,2,FALSE),C17="Yes - Hartford",VLOOKUP(C19,'Fee Breakdown'!L21:M24,2,FALSE),C17="No",0),"Please correct housing selections above.")</f>
        <v>Please correct housing selections above.</v>
      </c>
      <c r="D37" s="18"/>
      <c r="E37" s="17"/>
      <c r="F37" s="17"/>
      <c r="G37" s="17"/>
      <c r="H37" s="17"/>
      <c r="I37" s="17"/>
    </row>
    <row r="38" spans="1:9" ht="18.75" x14ac:dyDescent="0.3">
      <c r="A38" s="17"/>
      <c r="B38" s="1" t="s">
        <v>3</v>
      </c>
      <c r="C38" s="2" t="str" cm="1">
        <f t="array" ref="C38">_xlfn.IFNA(_xlfn.IFS(C21="Yes - Storrs",VLOOKUP(C22,'Fee Breakdown'!O6:P8,2,FALSE),C21="Yes - Avery Point",VLOOKUP(C23,'Fee Breakdown'!O11:P12,2,FALSE),C21="Yes - Hartford",VLOOKUP(C24,'Fee Breakdown'!O26:P28,2,FALSE),C21="Yes - Stamford",VLOOKUP(C25,'Fee Breakdown'!O15:P24,2,FALSE),C21="No",0),"Please correct meal plan selections above.")</f>
        <v>Please correct meal plan selections above.</v>
      </c>
      <c r="D38" s="17"/>
      <c r="E38" s="17"/>
      <c r="F38" s="17"/>
      <c r="G38" s="17"/>
      <c r="H38" s="17"/>
      <c r="I38" s="17"/>
    </row>
    <row r="39" spans="1:9" ht="18.75" x14ac:dyDescent="0.3">
      <c r="A39" s="17"/>
      <c r="B39" s="3" t="s">
        <v>44</v>
      </c>
      <c r="C39" s="4">
        <f>SUM(C33:C38)</f>
        <v>0</v>
      </c>
      <c r="D39" s="17"/>
      <c r="E39" s="17"/>
      <c r="F39" s="17"/>
      <c r="G39" s="17"/>
      <c r="H39" s="17"/>
      <c r="I39" s="17"/>
    </row>
    <row r="40" spans="1:9" x14ac:dyDescent="0.25">
      <c r="A40" s="17"/>
      <c r="B40" s="28" t="s">
        <v>173</v>
      </c>
      <c r="C40" s="15"/>
      <c r="D40" s="17"/>
      <c r="E40" s="17"/>
      <c r="F40" s="17"/>
      <c r="G40" s="17"/>
      <c r="H40" s="17"/>
      <c r="I40" s="17"/>
    </row>
    <row r="41" spans="1:9" x14ac:dyDescent="0.25">
      <c r="A41" s="17"/>
      <c r="B41" s="5"/>
      <c r="C41" s="15"/>
      <c r="D41" s="17"/>
      <c r="E41" s="17"/>
      <c r="F41" s="17"/>
      <c r="G41" s="17"/>
      <c r="H41" s="17"/>
      <c r="I41" s="17"/>
    </row>
    <row r="42" spans="1:9" ht="18.75" x14ac:dyDescent="0.3">
      <c r="A42" s="17"/>
      <c r="B42" s="1" t="s">
        <v>62</v>
      </c>
      <c r="C42" s="16">
        <v>0</v>
      </c>
      <c r="D42" s="25" t="str">
        <f>IF(C42&gt;0,"For questions regarding financial aid, please contact the Office of Student Financial Aid Services https://financialaid.uconn.edu/. "," ")</f>
        <v xml:space="preserve"> </v>
      </c>
      <c r="E42" s="34"/>
      <c r="F42" s="34"/>
      <c r="G42" s="34"/>
      <c r="H42" s="34"/>
      <c r="I42" s="17"/>
    </row>
    <row r="43" spans="1:9" ht="18.75" x14ac:dyDescent="0.3">
      <c r="A43" s="17"/>
      <c r="B43" s="1" t="s">
        <v>49</v>
      </c>
      <c r="C43" s="16">
        <v>0</v>
      </c>
      <c r="D43" s="35" t="str">
        <f>IF(C43&gt;0,"Please submit scholarship letters at https://bursar.uconn.edu/private-scholarship-deferment/"," ")</f>
        <v xml:space="preserve"> </v>
      </c>
      <c r="E43" s="17"/>
      <c r="F43" s="17"/>
      <c r="G43" s="17"/>
      <c r="H43" s="17"/>
      <c r="I43" s="17"/>
    </row>
    <row r="44" spans="1:9" ht="18.75" x14ac:dyDescent="0.3">
      <c r="A44" s="17"/>
      <c r="B44" s="3" t="s">
        <v>50</v>
      </c>
      <c r="C44" s="4">
        <f>SUM(C42:C43)</f>
        <v>0</v>
      </c>
      <c r="D44" s="17"/>
      <c r="E44" s="17"/>
      <c r="F44" s="17"/>
      <c r="G44" s="17"/>
      <c r="H44" s="17"/>
      <c r="I44" s="17"/>
    </row>
    <row r="45" spans="1:9" ht="15" customHeight="1" x14ac:dyDescent="0.25">
      <c r="A45" s="17"/>
      <c r="B45" s="79" t="s">
        <v>162</v>
      </c>
      <c r="C45" s="80"/>
      <c r="D45" s="17"/>
      <c r="E45" s="17"/>
      <c r="F45" s="17"/>
      <c r="G45" s="17"/>
      <c r="H45" s="17"/>
      <c r="I45" s="17"/>
    </row>
    <row r="46" spans="1:9" x14ac:dyDescent="0.25">
      <c r="A46" s="17"/>
      <c r="B46" s="79"/>
      <c r="C46" s="80"/>
      <c r="D46" s="17"/>
      <c r="E46" s="17"/>
      <c r="F46" s="17"/>
      <c r="G46" s="17"/>
      <c r="H46" s="17"/>
      <c r="I46" s="17"/>
    </row>
    <row r="47" spans="1:9" ht="15" customHeight="1" thickBot="1" x14ac:dyDescent="0.3">
      <c r="A47" s="17"/>
      <c r="B47" s="50" t="str">
        <f>HYPERLINK("https://financialaid.uconn.edu/steps-to-aid/#view-offer","Click here for instructions on how to view your financial aid offer")</f>
        <v>Click here for instructions on how to view your financial aid offer</v>
      </c>
      <c r="C47" s="51" t="str">
        <f>HYPERLINK("https://financialaid.uconn.edu/loans-for-undergraduates/","Click here for annual undergraduate student loan limits")</f>
        <v>Click here for annual undergraduate student loan limits</v>
      </c>
      <c r="D47" s="49"/>
      <c r="E47" s="17"/>
      <c r="F47" s="17"/>
      <c r="G47" s="17"/>
      <c r="H47" s="17"/>
      <c r="I47" s="17"/>
    </row>
    <row r="48" spans="1:9" ht="21" x14ac:dyDescent="0.35">
      <c r="A48" s="17"/>
      <c r="B48" s="26" t="str">
        <f>IF(C48&gt;=0,"Estimated Out-Of-Pocket Expense","Estimated Credit Balance")</f>
        <v>Estimated Out-Of-Pocket Expense</v>
      </c>
      <c r="C48" s="27">
        <f>C39-C44</f>
        <v>0</v>
      </c>
      <c r="D48" s="25" t="str">
        <f>IF(C48&lt;0,"Negative amounts reflect expected overpayments, and may be eligible as a refund to the student."," ")</f>
        <v xml:space="preserve"> </v>
      </c>
      <c r="E48" s="17"/>
      <c r="F48" s="17"/>
      <c r="G48" s="17"/>
      <c r="H48" s="17"/>
      <c r="I48" s="17"/>
    </row>
    <row r="49" spans="1:12" ht="9.75" customHeight="1" x14ac:dyDescent="0.25">
      <c r="A49" s="17"/>
      <c r="B49" s="5"/>
      <c r="C49" s="6"/>
      <c r="D49" s="17"/>
      <c r="E49" s="17"/>
      <c r="F49" s="17"/>
      <c r="G49" s="17"/>
      <c r="H49" s="17"/>
      <c r="I49" s="17"/>
    </row>
    <row r="50" spans="1:12" ht="18.75" x14ac:dyDescent="0.3">
      <c r="A50" s="17"/>
      <c r="B50" s="7" t="s">
        <v>51</v>
      </c>
      <c r="C50" s="4" t="str">
        <f>IF(C48&lt;300,"Balance does not qualify for a payment plan.",C48/3)</f>
        <v>Balance does not qualify for a payment plan.</v>
      </c>
      <c r="D50" s="17"/>
      <c r="E50" s="17"/>
      <c r="F50" s="17"/>
      <c r="G50" s="17"/>
      <c r="H50" s="17"/>
      <c r="I50" s="17"/>
      <c r="J50" s="17"/>
      <c r="K50" s="17"/>
      <c r="L50" s="17"/>
    </row>
    <row r="51" spans="1:12" ht="18.75" x14ac:dyDescent="0.3">
      <c r="A51" s="17"/>
      <c r="B51" s="7" t="s">
        <v>52</v>
      </c>
      <c r="C51" s="4" t="str">
        <f>IF(C48&lt;300,"Balance does not qualify for a payment plan.",C48/4)</f>
        <v>Balance does not qualify for a payment plan.</v>
      </c>
      <c r="D51" s="17"/>
      <c r="E51" s="17"/>
      <c r="F51" s="17"/>
      <c r="G51" s="17"/>
      <c r="H51" s="17"/>
      <c r="I51" s="17"/>
      <c r="J51" s="17"/>
      <c r="K51" s="17"/>
      <c r="L51" s="17"/>
    </row>
    <row r="52" spans="1:12" ht="18.75" x14ac:dyDescent="0.3">
      <c r="A52" s="17"/>
      <c r="B52" s="7" t="s">
        <v>53</v>
      </c>
      <c r="C52" s="4" t="str">
        <f>IF(C48&lt;300,"Balance does not qualify for a payment plan.",C48/5)</f>
        <v>Balance does not qualify for a payment plan.</v>
      </c>
      <c r="D52" s="17"/>
      <c r="E52" s="17"/>
      <c r="F52" s="17"/>
      <c r="G52" s="17"/>
      <c r="H52" s="17"/>
      <c r="I52" s="17"/>
      <c r="J52" s="17"/>
      <c r="K52" s="17"/>
      <c r="L52" s="17"/>
    </row>
    <row r="53" spans="1:12" ht="16.5" customHeight="1" x14ac:dyDescent="0.3">
      <c r="A53" s="17"/>
      <c r="B53" s="7"/>
      <c r="C53" s="4"/>
      <c r="D53" s="17"/>
      <c r="E53" s="17"/>
      <c r="F53" s="17"/>
      <c r="G53" s="17"/>
      <c r="H53" s="17"/>
      <c r="I53" s="17"/>
      <c r="J53" s="17"/>
      <c r="K53" s="17"/>
      <c r="L53" s="17"/>
    </row>
    <row r="54" spans="1:12" x14ac:dyDescent="0.25">
      <c r="A54" s="17"/>
      <c r="B54" s="73" t="s">
        <v>163</v>
      </c>
      <c r="C54" s="74"/>
      <c r="D54" s="17"/>
      <c r="E54" s="17"/>
      <c r="F54" s="17"/>
      <c r="G54" s="17"/>
      <c r="H54" s="17"/>
      <c r="I54" s="17"/>
      <c r="J54" s="17"/>
      <c r="K54" s="17"/>
      <c r="L54" s="17"/>
    </row>
    <row r="55" spans="1:12" x14ac:dyDescent="0.25">
      <c r="A55" s="17"/>
      <c r="B55" s="73"/>
      <c r="C55" s="74"/>
      <c r="D55" s="17"/>
      <c r="E55" s="17"/>
      <c r="F55" s="17"/>
      <c r="G55" s="17"/>
      <c r="H55" s="17"/>
      <c r="I55" s="17"/>
      <c r="J55" s="17"/>
      <c r="K55" s="17"/>
      <c r="L55" s="17"/>
    </row>
    <row r="56" spans="1:12" x14ac:dyDescent="0.25">
      <c r="A56" s="17"/>
      <c r="B56" s="66" t="s">
        <v>164</v>
      </c>
      <c r="C56" s="67"/>
      <c r="D56" s="17"/>
      <c r="E56" s="17"/>
      <c r="F56" s="17"/>
      <c r="G56" s="17"/>
      <c r="H56" s="17"/>
      <c r="I56" s="17"/>
      <c r="J56" s="17"/>
      <c r="K56" s="17"/>
      <c r="L56" s="17"/>
    </row>
    <row r="57" spans="1:12" x14ac:dyDescent="0.25">
      <c r="A57" s="17"/>
      <c r="B57" s="55" t="str">
        <f>HYPERLINK("https://bursar.uconn.edu/flywire/","Click here for more information on payment plans")</f>
        <v>Click here for more information on payment plans</v>
      </c>
      <c r="C57" s="56"/>
      <c r="D57" s="17"/>
      <c r="E57" s="17"/>
      <c r="F57" s="17"/>
      <c r="G57" s="17"/>
      <c r="H57" s="17"/>
      <c r="I57" s="17"/>
      <c r="J57" s="17"/>
      <c r="K57" s="17"/>
      <c r="L57" s="17"/>
    </row>
    <row r="58" spans="1:12" ht="15.75" thickBot="1" x14ac:dyDescent="0.3">
      <c r="A58" s="17"/>
      <c r="B58" s="53" t="str">
        <f>HYPERLINK("https://bursar.uconn.edu/student-payments/","Click here for information on accepted payment methods")</f>
        <v>Click here for information on accepted payment methods</v>
      </c>
      <c r="C58" s="54"/>
      <c r="D58" s="17"/>
      <c r="E58" s="17"/>
      <c r="F58" s="17"/>
      <c r="G58" s="17"/>
      <c r="H58" s="17"/>
      <c r="I58" s="17"/>
      <c r="J58" s="17"/>
      <c r="K58" s="17"/>
      <c r="L58" s="17"/>
    </row>
    <row r="59" spans="1:12" x14ac:dyDescent="0.25">
      <c r="A59" s="17"/>
      <c r="B59" s="17"/>
      <c r="C59" s="17"/>
      <c r="D59" s="17"/>
      <c r="E59" s="17"/>
      <c r="F59" s="17"/>
      <c r="G59" s="17"/>
      <c r="H59" s="17"/>
      <c r="I59" s="17"/>
      <c r="J59" s="17"/>
      <c r="K59" s="17"/>
      <c r="L59" s="17"/>
    </row>
    <row r="60" spans="1:12" x14ac:dyDescent="0.25">
      <c r="A60" s="17"/>
      <c r="B60" s="17"/>
      <c r="C60" s="17"/>
      <c r="D60" s="17"/>
      <c r="E60" s="17"/>
      <c r="F60" s="17"/>
      <c r="G60" s="17"/>
      <c r="H60" s="17"/>
      <c r="I60" s="17"/>
      <c r="J60" s="17"/>
      <c r="K60" s="17"/>
      <c r="L60" s="17"/>
    </row>
    <row r="61" spans="1:12" x14ac:dyDescent="0.25">
      <c r="A61" s="17"/>
      <c r="B61" s="17"/>
      <c r="C61" s="17"/>
      <c r="D61" s="17"/>
      <c r="E61" s="17"/>
      <c r="F61" s="17"/>
      <c r="G61" s="17"/>
      <c r="H61" s="17"/>
      <c r="I61" s="17"/>
      <c r="J61" s="17"/>
      <c r="K61" s="17"/>
      <c r="L61" s="17"/>
    </row>
    <row r="62" spans="1:12" x14ac:dyDescent="0.25">
      <c r="A62" s="17"/>
      <c r="B62" s="17"/>
      <c r="C62" s="17"/>
      <c r="D62" s="17"/>
      <c r="E62" s="17"/>
      <c r="F62" s="17"/>
      <c r="G62" s="17"/>
      <c r="H62" s="17"/>
      <c r="I62" s="17"/>
      <c r="J62" s="17"/>
      <c r="K62" s="17"/>
      <c r="L62" s="17"/>
    </row>
    <row r="63" spans="1:12" x14ac:dyDescent="0.25">
      <c r="A63" s="17"/>
      <c r="B63" s="17"/>
      <c r="C63" s="17"/>
      <c r="D63" s="17"/>
      <c r="E63" s="17"/>
      <c r="F63" s="17"/>
      <c r="G63" s="17"/>
      <c r="H63" s="17"/>
      <c r="I63" s="17"/>
      <c r="J63" s="17"/>
      <c r="K63" s="17"/>
      <c r="L63" s="17"/>
    </row>
    <row r="64" spans="1:12" x14ac:dyDescent="0.25">
      <c r="A64" s="17"/>
      <c r="B64" s="17"/>
      <c r="C64" s="17"/>
      <c r="D64" s="17"/>
      <c r="E64" s="17"/>
      <c r="F64" s="17"/>
      <c r="G64" s="17"/>
      <c r="H64" s="17"/>
      <c r="I64" s="17"/>
      <c r="J64" s="17"/>
      <c r="K64" s="17"/>
      <c r="L64" s="17"/>
    </row>
    <row r="65" spans="1:12" x14ac:dyDescent="0.25">
      <c r="A65" s="17"/>
      <c r="B65" s="17"/>
      <c r="C65" s="17"/>
      <c r="D65" s="17"/>
      <c r="E65" s="17"/>
      <c r="F65" s="17"/>
      <c r="G65" s="17"/>
      <c r="H65" s="17"/>
      <c r="I65" s="17"/>
      <c r="J65" s="17"/>
      <c r="K65" s="17"/>
      <c r="L65" s="17"/>
    </row>
    <row r="66" spans="1:12" x14ac:dyDescent="0.25">
      <c r="A66" s="17"/>
      <c r="B66" s="17"/>
      <c r="C66" s="17"/>
      <c r="D66" s="17"/>
      <c r="E66" s="17"/>
      <c r="F66" s="17"/>
      <c r="G66" s="17"/>
      <c r="H66" s="17"/>
      <c r="I66" s="17"/>
      <c r="J66" s="17"/>
      <c r="K66" s="17"/>
      <c r="L66" s="17"/>
    </row>
    <row r="67" spans="1:12" x14ac:dyDescent="0.25">
      <c r="A67" s="17"/>
      <c r="B67" s="17"/>
      <c r="C67" s="17"/>
      <c r="D67" s="17"/>
      <c r="E67" s="17"/>
      <c r="F67" s="17"/>
      <c r="G67" s="17"/>
      <c r="H67" s="17"/>
      <c r="I67" s="17"/>
      <c r="J67" s="17"/>
      <c r="K67" s="17"/>
      <c r="L67" s="17"/>
    </row>
    <row r="68" spans="1:12" x14ac:dyDescent="0.25">
      <c r="A68" s="17"/>
      <c r="B68" s="17"/>
      <c r="C68" s="17"/>
      <c r="D68" s="17"/>
      <c r="E68" s="17"/>
      <c r="F68" s="17"/>
      <c r="G68" s="17"/>
      <c r="H68" s="17"/>
      <c r="I68" s="17"/>
      <c r="J68" s="17"/>
      <c r="K68" s="17"/>
      <c r="L68" s="17"/>
    </row>
    <row r="69" spans="1:12" x14ac:dyDescent="0.25">
      <c r="A69" s="17"/>
      <c r="B69" s="17"/>
      <c r="C69" s="17"/>
      <c r="D69" s="17"/>
      <c r="E69" s="17"/>
      <c r="F69" s="17"/>
      <c r="G69" s="17"/>
      <c r="H69" s="17"/>
      <c r="I69" s="17"/>
      <c r="J69" s="17"/>
      <c r="K69" s="17"/>
      <c r="L69" s="17"/>
    </row>
    <row r="70" spans="1:12" x14ac:dyDescent="0.25">
      <c r="A70" s="17"/>
      <c r="B70" s="17"/>
      <c r="C70" s="17"/>
      <c r="D70" s="17"/>
      <c r="E70" s="17"/>
      <c r="F70" s="17"/>
      <c r="G70" s="17"/>
      <c r="H70" s="17"/>
      <c r="I70" s="17"/>
      <c r="J70" s="17"/>
      <c r="K70" s="17"/>
      <c r="L70" s="17"/>
    </row>
    <row r="71" spans="1:12" x14ac:dyDescent="0.25">
      <c r="A71" s="17"/>
      <c r="B71" s="17"/>
      <c r="C71" s="17"/>
      <c r="D71" s="17"/>
      <c r="E71" s="17"/>
      <c r="F71" s="17"/>
      <c r="G71" s="17"/>
      <c r="H71" s="17"/>
      <c r="I71" s="17"/>
      <c r="J71" s="17"/>
      <c r="K71" s="17"/>
      <c r="L71" s="17"/>
    </row>
    <row r="72" spans="1:12" x14ac:dyDescent="0.25">
      <c r="A72" s="17"/>
      <c r="B72" s="17"/>
      <c r="C72" s="17"/>
      <c r="D72" s="17"/>
      <c r="E72" s="17"/>
      <c r="F72" s="17"/>
      <c r="G72" s="17"/>
      <c r="H72" s="17"/>
      <c r="I72" s="17"/>
      <c r="J72" s="17"/>
      <c r="K72" s="17"/>
      <c r="L72" s="17"/>
    </row>
    <row r="73" spans="1:12" x14ac:dyDescent="0.25">
      <c r="A73" s="17"/>
      <c r="B73" s="17"/>
      <c r="C73" s="17"/>
      <c r="D73" s="17"/>
      <c r="E73" s="17"/>
      <c r="F73" s="17"/>
      <c r="G73" s="17"/>
      <c r="H73" s="17"/>
      <c r="I73" s="17"/>
      <c r="J73" s="17"/>
      <c r="K73" s="17"/>
      <c r="L73" s="17"/>
    </row>
    <row r="74" spans="1:12" x14ac:dyDescent="0.25">
      <c r="A74" s="17"/>
      <c r="B74" s="17"/>
      <c r="C74" s="17"/>
      <c r="D74" s="17"/>
      <c r="E74" s="17"/>
      <c r="F74" s="17"/>
      <c r="G74" s="17"/>
      <c r="H74" s="17"/>
      <c r="I74" s="17"/>
      <c r="J74" s="17"/>
      <c r="K74" s="17"/>
      <c r="L74" s="17"/>
    </row>
    <row r="75" spans="1:12" x14ac:dyDescent="0.25">
      <c r="A75" s="17"/>
      <c r="B75" s="17"/>
      <c r="C75" s="17"/>
      <c r="D75" s="17"/>
      <c r="E75" s="17"/>
      <c r="F75" s="17"/>
      <c r="G75" s="17"/>
      <c r="H75" s="17"/>
      <c r="I75" s="17"/>
      <c r="J75" s="17"/>
      <c r="K75" s="17"/>
      <c r="L75" s="17"/>
    </row>
    <row r="76" spans="1:12" x14ac:dyDescent="0.25">
      <c r="A76" s="17"/>
      <c r="B76" s="17"/>
      <c r="C76" s="17"/>
      <c r="D76" s="17"/>
      <c r="E76" s="17"/>
      <c r="F76" s="17"/>
      <c r="G76" s="17"/>
      <c r="H76" s="17"/>
      <c r="I76" s="17"/>
      <c r="J76" s="17"/>
      <c r="K76" s="17"/>
      <c r="L76" s="17"/>
    </row>
    <row r="77" spans="1:12" x14ac:dyDescent="0.25">
      <c r="A77" s="17"/>
      <c r="B77" s="17"/>
      <c r="C77" s="17"/>
      <c r="D77" s="17"/>
      <c r="E77" s="17"/>
      <c r="F77" s="17"/>
      <c r="G77" s="17"/>
      <c r="H77" s="17"/>
      <c r="I77" s="17"/>
      <c r="J77" s="17"/>
      <c r="K77" s="17"/>
      <c r="L77" s="17"/>
    </row>
    <row r="78" spans="1:12" x14ac:dyDescent="0.25">
      <c r="A78" s="17"/>
      <c r="B78" s="17"/>
      <c r="C78" s="17"/>
      <c r="D78" s="17"/>
      <c r="E78" s="17"/>
      <c r="F78" s="17"/>
      <c r="G78" s="17"/>
      <c r="H78" s="17"/>
      <c r="I78" s="17"/>
      <c r="J78" s="17"/>
      <c r="K78" s="17"/>
      <c r="L78" s="17"/>
    </row>
    <row r="79" spans="1:12" x14ac:dyDescent="0.25">
      <c r="A79" s="17"/>
      <c r="B79" s="17"/>
      <c r="C79" s="17"/>
      <c r="D79" s="17"/>
      <c r="E79" s="17"/>
      <c r="F79" s="17"/>
      <c r="G79" s="17"/>
      <c r="H79" s="17"/>
      <c r="I79" s="17"/>
      <c r="J79" s="17"/>
      <c r="K79" s="17"/>
      <c r="L79" s="17"/>
    </row>
    <row r="80" spans="1:12" x14ac:dyDescent="0.25">
      <c r="A80" s="17"/>
    </row>
  </sheetData>
  <sheetProtection algorithmName="SHA-512" hashValue="9jwyZDQtPnTFCewg4ag2jFM4R2pqgmjdKoMS7MDZByH4i+VA1D8Bg0GlT7MxPVJ3zUoxxy+neUzi9lhIZ+qGgA==" saltValue="3YTdK7O+DLhhCnuS/yuWLg==" spinCount="100000" sheet="1" objects="1" scenarios="1"/>
  <mergeCells count="14">
    <mergeCell ref="B58:C58"/>
    <mergeCell ref="B57:C57"/>
    <mergeCell ref="E3:I7"/>
    <mergeCell ref="E2:I2"/>
    <mergeCell ref="B56:C56"/>
    <mergeCell ref="B32:C32"/>
    <mergeCell ref="B7:C7"/>
    <mergeCell ref="D18:E18"/>
    <mergeCell ref="B54:C55"/>
    <mergeCell ref="B26:C26"/>
    <mergeCell ref="B27:C27"/>
    <mergeCell ref="B28:C28"/>
    <mergeCell ref="B29:C29"/>
    <mergeCell ref="B45:C46"/>
  </mergeCells>
  <conditionalFormatting sqref="C33:C34">
    <cfRule type="cellIs" dxfId="5" priority="3" operator="equal">
      <formula>"Please correct selections above."</formula>
    </cfRule>
  </conditionalFormatting>
  <conditionalFormatting sqref="C37">
    <cfRule type="expression" dxfId="4" priority="19">
      <formula>$C$37="Please correct housing selections above."</formula>
    </cfRule>
  </conditionalFormatting>
  <conditionalFormatting sqref="C38">
    <cfRule type="expression" dxfId="3" priority="1">
      <formula>$C$38="Please correct meal plan selections above."</formula>
    </cfRule>
  </conditionalFormatting>
  <conditionalFormatting sqref="D15">
    <cfRule type="expression" dxfId="2" priority="7">
      <formula>D15="Part-time students are not automatically enrolled in Univeristy health insurance. To voluntarily enroll, please call 860-486-4535."</formula>
    </cfRule>
    <cfRule type="expression" dxfId="1" priority="8">
      <formula>D15="Health insurance is automatically billed to full-time students and must be waived by February 5th"</formula>
    </cfRule>
  </conditionalFormatting>
  <conditionalFormatting sqref="D16">
    <cfRule type="expression" dxfId="0" priority="9">
      <formula>D16="Students who choose to opt-out of the Husky Book Bundle program must do so before the 10th day of each semester"</formula>
    </cfRule>
  </conditionalFormatting>
  <dataValidations xWindow="711" yWindow="436" count="12">
    <dataValidation type="list" allowBlank="1" showInputMessage="1" showErrorMessage="1" sqref="C13" xr:uid="{13A87A2D-8110-474E-99FE-8C865ABB8C21}">
      <formula1>"Select Option, In-State, Out-of-State, New England Regional"</formula1>
    </dataValidation>
    <dataValidation type="list" allowBlank="1" showInputMessage="1" showErrorMessage="1" sqref="C14" xr:uid="{B1343154-DE84-4974-9836-29F69119F92D}">
      <formula1>"Select Option, 1, 2, 3, 4, 5, 6, 7, 8, 9, 10, 11, 12+"</formula1>
    </dataValidation>
    <dataValidation type="list" allowBlank="1" showInputMessage="1" showErrorMessage="1" sqref="C12" xr:uid="{55F8DE92-5B7A-4895-9ACB-22597C9C9FB0}">
      <formula1>"Select Option, Storrs, Avery Point, Hartford, Stamford, Waterbury"</formula1>
    </dataValidation>
    <dataValidation type="list" allowBlank="1" showInputMessage="1" showErrorMessage="1" prompt="The Husky Book Bundle fee is billed to all undergrad students and covers the rental cost for all required course textbooks and digital materials.  Students may opt-out of the program by the 10th day of each semester.  " sqref="C16" xr:uid="{82C4ED6E-3CED-44AF-A60E-37F9931AB7DE}">
      <formula1>"Select Option, Yes, No"</formula1>
    </dataValidation>
    <dataValidation type="list" allowBlank="1" showInputMessage="1" showErrorMessage="1" sqref="C17" xr:uid="{35B23834-E5B4-458D-B8EF-4B8F8C12E2B8}">
      <formula1>"Select Option, Yes - Storrs, Yes - Stamford, Yes - Hartford, No"</formula1>
    </dataValidation>
    <dataValidation type="list" allowBlank="1" showInputMessage="1" showErrorMessage="1" prompt="Health Insurance will be automatically billed every Fall semester for full-time students (or Spring semester for new Spring admits). It can be waived by September 15th (or February 5th for Spring) if student is covered by another health insurance plan." sqref="C15" xr:uid="{723429A1-79BB-4279-AE07-EAF3DF2F7E49}">
      <formula1>"Select Option, Yes, No"</formula1>
    </dataValidation>
    <dataValidation allowBlank="1" showInputMessage="1" showErrorMessage="1" prompt="Enter expected per semester amount of loans, grants, merit, and other Univeristy scholarships.  Please note, awarded aid may adjust depending on changes in campus, credit level, or residency.  Please contact Financial Aid with questions on your awards." sqref="C42" xr:uid="{9F17012E-4528-449B-8828-D5157AFC07B7}"/>
    <dataValidation allowBlank="1" showInputMessage="1" showErrorMessage="1" prompt="Enter amount of outstide funding including private scholarships and third party payments expected per semester.  Please note, scholarships over $2,000 will be split evenly between Fall and Spring bills unless directed otherwise by the scholarship company." sqref="C43" xr:uid="{E9AAE4A7-B082-4908-8988-5418A23ADF43}"/>
    <dataValidation type="list" allowBlank="1" showInputMessage="1" showErrorMessage="1" sqref="C10" xr:uid="{2BDA6297-1A52-4181-B053-F220DF1DAB31}">
      <formula1>"Select Option, Fall, Spring"</formula1>
    </dataValidation>
    <dataValidation type="list" allowBlank="1" showInputMessage="1" showErrorMessage="1" sqref="C11" xr:uid="{FF49EBED-2EDE-4C98-9B6F-7C97DF28C10E}">
      <formula1>"Select Option, Yes - Starting in Fall, Yes - Starting in Spring, No"</formula1>
    </dataValidation>
    <dataValidation type="list" allowBlank="1" showErrorMessage="1" sqref="C21" xr:uid="{B92B4CEC-2A25-4499-9D8D-3D60535544F5}">
      <formula1>"Select Option, No, Yes - Storrs, Yes - Avery Point, Yes - Hartford, Yes - Stamford"</formula1>
    </dataValidation>
    <dataValidation type="list" allowBlank="1" showInputMessage="1" showErrorMessage="1" sqref="C21" xr:uid="{DD53D39B-AE5F-4BD1-B2CD-586C7CCB446A}">
      <formula1>"Select Option,No,Yes"</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711" yWindow="436" count="8">
        <x14:dataValidation type="list" allowBlank="1" showInputMessage="1" showErrorMessage="1" prompt="Enter your expected meal selection if you chose &quot;Yes - Storrs&quot; abover.  Otherwise, enter &quot;None&quot;." xr:uid="{5B2400C8-8698-44CB-94E8-BDB08194D453}">
          <x14:formula1>
            <xm:f>'Fee Breakdown'!$O$4:$O$8</xm:f>
          </x14:formula1>
          <xm:sqref>C22</xm:sqref>
        </x14:dataValidation>
        <x14:dataValidation type="list" allowBlank="1" showInputMessage="1" showErrorMessage="1" prompt="Enter your expected housing selection if you chose &quot;Yes - Stamford' above.  Otherwise, enter &quot;None&quot;." xr:uid="{F1176A6B-BA14-4E5A-9AA8-A47A994CE691}">
          <x14:formula1>
            <xm:f>'Fee Breakdown'!$O$6:$O$8</xm:f>
          </x14:formula1>
          <xm:sqref>C22</xm:sqref>
        </x14:dataValidation>
        <x14:dataValidation type="list" allowBlank="1" showInputMessage="1" showErrorMessage="1" prompt="Enter your expected meal plan selection if you chose &quot;Yes - Avery Point&quot; above.  Otherwise, enter &quot;None&quot;." xr:uid="{8F65DE07-A153-4F5C-A492-2A2C7CE91409}">
          <x14:formula1>
            <xm:f>'Fee Breakdown'!$O$9:$O$12</xm:f>
          </x14:formula1>
          <xm:sqref>C23</xm:sqref>
        </x14:dataValidation>
        <x14:dataValidation type="list" allowBlank="1" showInputMessage="1" showErrorMessage="1" prompt="Enter your expected meal plan selection if you chose &quot;Yes - Stamford&quot; above.  Otherwise, enter &quot;None&quot;.  " xr:uid="{D9E2D805-D864-4CDB-BF3A-82E661DC8784}">
          <x14:formula1>
            <xm:f>'Fee Breakdown'!$O$13:$O$24</xm:f>
          </x14:formula1>
          <xm:sqref>C25</xm:sqref>
        </x14:dataValidation>
        <x14:dataValidation type="list" allowBlank="1" showInputMessage="1" showErrorMessage="1" prompt="Enter your expected meal plan selection if you chose &quot;Yes - Hartford&quot; above.  Otherwise, enter &quot;None&quot;." xr:uid="{723966E4-C116-4462-91A0-C293F46F32B9}">
          <x14:formula1>
            <xm:f>'Fee Breakdown'!$O$25:$O$28</xm:f>
          </x14:formula1>
          <xm:sqref>C24</xm:sqref>
        </x14:dataValidation>
        <x14:dataValidation type="list" allowBlank="1" showInputMessage="1" showErrorMessage="1" prompt="Enter your expected housing selection if you selected &quot;Yes - Storrs&quot; above.  Otherwise, enter &quot;None&quot;." xr:uid="{4D3C59C3-8D03-4F71-B053-8F5F368C7600}">
          <x14:formula1>
            <xm:f>'Fee Breakdown'!$L$4:$L$16</xm:f>
          </x14:formula1>
          <xm:sqref>C18</xm:sqref>
        </x14:dataValidation>
        <x14:dataValidation type="list" allowBlank="1" showInputMessage="1" showErrorMessage="1" prompt="Enter your expected housing selection if you chose &quot;Yes - Stamford' above.  Otherwise, enter &quot;None&quot;." xr:uid="{1C1C81D5-9E78-45F5-A588-2C240FA68C3B}">
          <x14:formula1>
            <xm:f>'Fee Breakdown'!$L$17:$L$20</xm:f>
          </x14:formula1>
          <xm:sqref>C20</xm:sqref>
        </x14:dataValidation>
        <x14:dataValidation type="list" allowBlank="1" showInputMessage="1" showErrorMessage="1" prompt="Enter your expected housing selection if you selected &quot;Yes - Hartford&quot; above.  Otherwise, enter &quot;None&quot;." xr:uid="{80F45FAE-D121-4909-ADDF-9A8296B2FFA2}">
          <x14:formula1>
            <xm:f>'Fee Breakdown'!$L$21:$L$25</xm:f>
          </x14:formula1>
          <xm:sqref>C19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F2358-E5BE-4243-9CEA-089C67B680C7}">
  <sheetPr codeName="Sheet2"/>
  <dimension ref="B1:P63"/>
  <sheetViews>
    <sheetView workbookViewId="0">
      <selection activeCell="H23" sqref="H23"/>
    </sheetView>
  </sheetViews>
  <sheetFormatPr defaultRowHeight="15" x14ac:dyDescent="0.25"/>
  <cols>
    <col min="2" max="2" width="24.5703125" bestFit="1" customWidth="1"/>
    <col min="3" max="3" width="14" customWidth="1"/>
    <col min="4" max="4" width="10.7109375" customWidth="1"/>
    <col min="5" max="5" width="22.85546875" customWidth="1"/>
    <col min="6" max="6" width="23.28515625" customWidth="1"/>
    <col min="7" max="7" width="4.85546875" customWidth="1"/>
    <col min="8" max="8" width="21.42578125" bestFit="1" customWidth="1"/>
    <col min="11" max="11" width="4.140625" customWidth="1"/>
    <col min="12" max="12" width="27.85546875" customWidth="1"/>
    <col min="13" max="13" width="37.5703125" bestFit="1" customWidth="1"/>
    <col min="14" max="14" width="0.85546875" customWidth="1"/>
    <col min="15" max="15" width="36.5703125" customWidth="1"/>
  </cols>
  <sheetData>
    <row r="1" spans="2:16" ht="21" x14ac:dyDescent="0.35">
      <c r="B1" s="44" t="s">
        <v>167</v>
      </c>
      <c r="C1" s="82" t="s">
        <v>144</v>
      </c>
      <c r="D1" s="82"/>
      <c r="E1" s="82"/>
      <c r="F1" s="46" t="s">
        <v>148</v>
      </c>
    </row>
    <row r="3" spans="2:16" ht="15.75" thickBot="1" x14ac:dyDescent="0.3">
      <c r="B3" s="81" t="s">
        <v>147</v>
      </c>
      <c r="C3" s="81"/>
      <c r="E3" s="81" t="s">
        <v>145</v>
      </c>
      <c r="F3" s="81"/>
      <c r="H3" s="81" t="s">
        <v>146</v>
      </c>
      <c r="I3" s="81"/>
      <c r="J3" s="81"/>
      <c r="L3" s="81"/>
      <c r="M3" s="81"/>
      <c r="O3" s="81" t="s">
        <v>42</v>
      </c>
      <c r="P3" s="81"/>
    </row>
    <row r="4" spans="2:16" ht="15.75" x14ac:dyDescent="0.25">
      <c r="B4" t="s">
        <v>5</v>
      </c>
      <c r="C4" s="41">
        <v>709</v>
      </c>
      <c r="D4" s="45"/>
      <c r="E4" t="s">
        <v>65</v>
      </c>
      <c r="F4" s="42">
        <v>1452</v>
      </c>
      <c r="H4" t="s">
        <v>177</v>
      </c>
      <c r="J4" s="52">
        <f>3214+0</f>
        <v>3214</v>
      </c>
      <c r="L4" t="s">
        <v>64</v>
      </c>
      <c r="M4" t="s">
        <v>161</v>
      </c>
      <c r="O4" t="s">
        <v>64</v>
      </c>
      <c r="P4">
        <v>0</v>
      </c>
    </row>
    <row r="5" spans="2:16" ht="15.75" x14ac:dyDescent="0.25">
      <c r="B5" t="s">
        <v>6</v>
      </c>
      <c r="C5" s="41">
        <v>1418</v>
      </c>
      <c r="D5" s="45"/>
      <c r="E5" t="s">
        <v>66</v>
      </c>
      <c r="F5" s="42">
        <v>1452</v>
      </c>
      <c r="H5" t="s">
        <v>149</v>
      </c>
      <c r="J5" s="52">
        <v>1897</v>
      </c>
      <c r="L5" t="s">
        <v>43</v>
      </c>
      <c r="M5">
        <v>0</v>
      </c>
      <c r="O5" t="s">
        <v>43</v>
      </c>
      <c r="P5">
        <v>0</v>
      </c>
    </row>
    <row r="6" spans="2:16" ht="15.75" x14ac:dyDescent="0.25">
      <c r="B6" t="s">
        <v>7</v>
      </c>
      <c r="C6" s="41">
        <v>2127</v>
      </c>
      <c r="D6" s="45"/>
      <c r="E6" t="s">
        <v>67</v>
      </c>
      <c r="F6" s="42">
        <v>1452</v>
      </c>
      <c r="H6" t="s">
        <v>174</v>
      </c>
      <c r="J6" s="43">
        <v>75</v>
      </c>
      <c r="L6" t="s">
        <v>150</v>
      </c>
      <c r="M6" s="43">
        <f>8288/2</f>
        <v>4144</v>
      </c>
      <c r="O6" t="s">
        <v>125</v>
      </c>
      <c r="P6" s="43">
        <f>6538/2</f>
        <v>3269</v>
      </c>
    </row>
    <row r="7" spans="2:16" ht="15.75" x14ac:dyDescent="0.25">
      <c r="B7" t="s">
        <v>8</v>
      </c>
      <c r="C7" s="41">
        <v>2836</v>
      </c>
      <c r="D7" s="45"/>
      <c r="E7" t="s">
        <v>68</v>
      </c>
      <c r="F7" s="42">
        <v>1452</v>
      </c>
      <c r="H7" t="s">
        <v>175</v>
      </c>
      <c r="J7" s="43">
        <v>180</v>
      </c>
      <c r="L7" t="s">
        <v>151</v>
      </c>
      <c r="M7" s="43">
        <f>9420/2</f>
        <v>4710</v>
      </c>
      <c r="O7" t="s">
        <v>126</v>
      </c>
      <c r="P7" s="43">
        <f>6896/2</f>
        <v>3448</v>
      </c>
    </row>
    <row r="8" spans="2:16" ht="15.75" x14ac:dyDescent="0.25">
      <c r="B8" t="s">
        <v>9</v>
      </c>
      <c r="C8" s="41">
        <v>3545</v>
      </c>
      <c r="D8" s="45"/>
      <c r="E8" t="s">
        <v>69</v>
      </c>
      <c r="F8" s="43">
        <v>2282</v>
      </c>
      <c r="H8" t="s">
        <v>176</v>
      </c>
      <c r="J8" s="43">
        <v>285</v>
      </c>
      <c r="L8" t="s">
        <v>169</v>
      </c>
      <c r="M8" s="43">
        <f>9952/2</f>
        <v>4976</v>
      </c>
      <c r="O8" t="s">
        <v>127</v>
      </c>
      <c r="P8" s="43">
        <f>7222/2</f>
        <v>3611</v>
      </c>
    </row>
    <row r="9" spans="2:16" ht="15.75" x14ac:dyDescent="0.25">
      <c r="B9" t="s">
        <v>10</v>
      </c>
      <c r="C9" s="41">
        <v>4254</v>
      </c>
      <c r="D9" s="45"/>
      <c r="E9" t="s">
        <v>70</v>
      </c>
      <c r="F9" s="43">
        <v>2282</v>
      </c>
      <c r="L9" t="s">
        <v>152</v>
      </c>
      <c r="M9" s="43">
        <f>10436/2</f>
        <v>5218</v>
      </c>
      <c r="O9" t="s">
        <v>64</v>
      </c>
      <c r="P9">
        <v>0</v>
      </c>
    </row>
    <row r="10" spans="2:16" ht="15.75" x14ac:dyDescent="0.25">
      <c r="B10" t="s">
        <v>11</v>
      </c>
      <c r="C10" s="41">
        <v>4963</v>
      </c>
      <c r="D10" s="45"/>
      <c r="E10" t="s">
        <v>71</v>
      </c>
      <c r="F10" s="43">
        <v>2282</v>
      </c>
      <c r="L10" t="s">
        <v>153</v>
      </c>
      <c r="M10" s="43">
        <v>5574</v>
      </c>
      <c r="O10" t="s">
        <v>43</v>
      </c>
      <c r="P10">
        <v>0</v>
      </c>
    </row>
    <row r="11" spans="2:16" ht="15.75" x14ac:dyDescent="0.25">
      <c r="B11" t="s">
        <v>12</v>
      </c>
      <c r="C11" s="41">
        <v>5672</v>
      </c>
      <c r="D11" s="45"/>
      <c r="E11" t="s">
        <v>72</v>
      </c>
      <c r="F11" s="43">
        <v>2282</v>
      </c>
      <c r="L11" t="s">
        <v>181</v>
      </c>
      <c r="M11" s="43">
        <v>5733</v>
      </c>
      <c r="O11" t="s">
        <v>132</v>
      </c>
      <c r="P11" s="52">
        <v>830</v>
      </c>
    </row>
    <row r="12" spans="2:16" ht="15.75" x14ac:dyDescent="0.25">
      <c r="B12" t="s">
        <v>13</v>
      </c>
      <c r="C12" s="41">
        <v>6381</v>
      </c>
      <c r="D12" s="45"/>
      <c r="E12" t="s">
        <v>73</v>
      </c>
      <c r="F12" s="43">
        <v>2282</v>
      </c>
      <c r="L12" t="s">
        <v>154</v>
      </c>
      <c r="M12" s="43">
        <f>11742/2</f>
        <v>5871</v>
      </c>
      <c r="O12" t="s">
        <v>135</v>
      </c>
      <c r="P12" s="52">
        <v>1470</v>
      </c>
    </row>
    <row r="13" spans="2:16" ht="15.75" x14ac:dyDescent="0.25">
      <c r="B13" t="s">
        <v>14</v>
      </c>
      <c r="C13" s="41">
        <v>7090</v>
      </c>
      <c r="D13" s="45"/>
      <c r="E13" t="s">
        <v>74</v>
      </c>
      <c r="F13" s="43">
        <v>2282</v>
      </c>
      <c r="L13" t="s">
        <v>155</v>
      </c>
      <c r="M13" s="43">
        <f>12086/2</f>
        <v>6043</v>
      </c>
      <c r="O13" t="s">
        <v>64</v>
      </c>
      <c r="P13">
        <v>0</v>
      </c>
    </row>
    <row r="14" spans="2:16" ht="15.75" x14ac:dyDescent="0.25">
      <c r="B14" t="s">
        <v>15</v>
      </c>
      <c r="C14" s="41">
        <v>7799</v>
      </c>
      <c r="D14" s="45"/>
      <c r="E14" t="s">
        <v>75</v>
      </c>
      <c r="F14" s="43">
        <v>2282</v>
      </c>
      <c r="L14" t="s">
        <v>168</v>
      </c>
      <c r="M14" s="43">
        <f>12674/2</f>
        <v>6337</v>
      </c>
      <c r="O14" t="s">
        <v>43</v>
      </c>
      <c r="P14">
        <v>0</v>
      </c>
    </row>
    <row r="15" spans="2:16" ht="15.75" x14ac:dyDescent="0.25">
      <c r="B15" t="s">
        <v>16</v>
      </c>
      <c r="C15" s="41">
        <v>8505</v>
      </c>
      <c r="D15" s="45"/>
      <c r="E15" t="s">
        <v>76</v>
      </c>
      <c r="F15" s="43">
        <v>2282</v>
      </c>
      <c r="L15" t="s">
        <v>170</v>
      </c>
      <c r="M15" s="43">
        <f>15000/2</f>
        <v>7500</v>
      </c>
      <c r="O15" t="s">
        <v>133</v>
      </c>
      <c r="P15" s="52">
        <v>325</v>
      </c>
    </row>
    <row r="16" spans="2:16" ht="15.75" x14ac:dyDescent="0.25">
      <c r="B16" t="s">
        <v>18</v>
      </c>
      <c r="C16" s="41">
        <v>1654</v>
      </c>
      <c r="D16" s="45"/>
      <c r="E16" t="s">
        <v>77</v>
      </c>
      <c r="F16" s="43">
        <v>531</v>
      </c>
      <c r="L16" t="s">
        <v>171</v>
      </c>
      <c r="M16" s="43">
        <f>16898/2</f>
        <v>8449</v>
      </c>
      <c r="O16" t="s">
        <v>134</v>
      </c>
      <c r="P16" s="52">
        <v>650</v>
      </c>
    </row>
    <row r="17" spans="2:16" ht="15.75" x14ac:dyDescent="0.25">
      <c r="B17" t="s">
        <v>19</v>
      </c>
      <c r="C17" s="41">
        <v>3308</v>
      </c>
      <c r="D17" s="45"/>
      <c r="E17" t="s">
        <v>78</v>
      </c>
      <c r="F17" s="43">
        <v>531</v>
      </c>
      <c r="L17" t="s">
        <v>64</v>
      </c>
      <c r="M17" t="s">
        <v>161</v>
      </c>
      <c r="O17" t="s">
        <v>136</v>
      </c>
      <c r="P17" s="52">
        <v>975</v>
      </c>
    </row>
    <row r="18" spans="2:16" ht="15.75" x14ac:dyDescent="0.25">
      <c r="B18" t="s">
        <v>20</v>
      </c>
      <c r="C18" s="41">
        <v>4962</v>
      </c>
      <c r="D18" s="45"/>
      <c r="E18" t="s">
        <v>79</v>
      </c>
      <c r="F18" s="43">
        <v>531</v>
      </c>
      <c r="L18" t="s">
        <v>43</v>
      </c>
      <c r="M18">
        <v>0</v>
      </c>
      <c r="O18" t="s">
        <v>137</v>
      </c>
      <c r="P18" s="52">
        <v>1300</v>
      </c>
    </row>
    <row r="19" spans="2:16" ht="15.75" x14ac:dyDescent="0.25">
      <c r="B19" t="s">
        <v>21</v>
      </c>
      <c r="C19" s="41">
        <v>6616</v>
      </c>
      <c r="D19" s="45"/>
      <c r="E19" t="s">
        <v>80</v>
      </c>
      <c r="F19" s="43">
        <v>531</v>
      </c>
      <c r="L19" t="s">
        <v>156</v>
      </c>
      <c r="M19" s="43">
        <f>12740/2</f>
        <v>6370</v>
      </c>
      <c r="O19" t="s">
        <v>138</v>
      </c>
      <c r="P19" s="52">
        <v>1625</v>
      </c>
    </row>
    <row r="20" spans="2:16" ht="15.75" x14ac:dyDescent="0.25">
      <c r="B20" t="s">
        <v>22</v>
      </c>
      <c r="C20" s="41">
        <v>8270</v>
      </c>
      <c r="D20" s="45"/>
      <c r="E20" t="s">
        <v>81</v>
      </c>
      <c r="F20" s="43">
        <v>720</v>
      </c>
      <c r="L20" t="s">
        <v>157</v>
      </c>
      <c r="M20" s="43">
        <f>14818/2</f>
        <v>7409</v>
      </c>
      <c r="O20" t="s">
        <v>139</v>
      </c>
      <c r="P20" s="52">
        <v>1950</v>
      </c>
    </row>
    <row r="21" spans="2:16" ht="15.75" x14ac:dyDescent="0.25">
      <c r="B21" t="s">
        <v>23</v>
      </c>
      <c r="C21" s="41">
        <v>9924</v>
      </c>
      <c r="D21" s="45"/>
      <c r="E21" t="s">
        <v>82</v>
      </c>
      <c r="F21" s="43">
        <v>720</v>
      </c>
      <c r="L21" t="s">
        <v>64</v>
      </c>
      <c r="M21" t="s">
        <v>161</v>
      </c>
      <c r="O21" t="s">
        <v>140</v>
      </c>
      <c r="P21" s="52">
        <v>2275</v>
      </c>
    </row>
    <row r="22" spans="2:16" ht="15.75" x14ac:dyDescent="0.25">
      <c r="B22" t="s">
        <v>24</v>
      </c>
      <c r="C22" s="41">
        <v>11578</v>
      </c>
      <c r="D22" s="45"/>
      <c r="E22" t="s">
        <v>83</v>
      </c>
      <c r="F22" s="43">
        <v>720</v>
      </c>
      <c r="L22" t="s">
        <v>43</v>
      </c>
      <c r="M22">
        <v>0</v>
      </c>
      <c r="O22" t="s">
        <v>141</v>
      </c>
      <c r="P22" s="52">
        <v>2600</v>
      </c>
    </row>
    <row r="23" spans="2:16" ht="15.75" x14ac:dyDescent="0.25">
      <c r="B23" t="s">
        <v>25</v>
      </c>
      <c r="C23" s="41">
        <v>13232</v>
      </c>
      <c r="D23" s="45"/>
      <c r="E23" t="s">
        <v>84</v>
      </c>
      <c r="F23" s="43">
        <v>720</v>
      </c>
      <c r="L23" t="s">
        <v>158</v>
      </c>
      <c r="M23" s="43">
        <f>12672/2</f>
        <v>6336</v>
      </c>
      <c r="O23" t="s">
        <v>142</v>
      </c>
      <c r="P23" s="52">
        <v>2925</v>
      </c>
    </row>
    <row r="24" spans="2:16" ht="15.75" x14ac:dyDescent="0.25">
      <c r="B24" t="s">
        <v>26</v>
      </c>
      <c r="C24" s="41">
        <v>14886</v>
      </c>
      <c r="D24" s="45"/>
      <c r="E24" t="s">
        <v>85</v>
      </c>
      <c r="F24" s="43">
        <v>720</v>
      </c>
      <c r="L24" t="s">
        <v>159</v>
      </c>
      <c r="M24" s="43">
        <f>14998/2</f>
        <v>7499</v>
      </c>
      <c r="O24" t="s">
        <v>143</v>
      </c>
      <c r="P24" s="52">
        <v>3250</v>
      </c>
    </row>
    <row r="25" spans="2:16" ht="15.75" x14ac:dyDescent="0.25">
      <c r="B25" t="s">
        <v>27</v>
      </c>
      <c r="C25" s="41">
        <v>16540</v>
      </c>
      <c r="D25" s="45"/>
      <c r="E25" t="s">
        <v>86</v>
      </c>
      <c r="F25" s="43">
        <v>720</v>
      </c>
      <c r="L25" t="s">
        <v>172</v>
      </c>
      <c r="M25" s="43">
        <f>16898/2</f>
        <v>8449</v>
      </c>
      <c r="O25" t="s">
        <v>64</v>
      </c>
      <c r="P25">
        <v>0</v>
      </c>
    </row>
    <row r="26" spans="2:16" ht="15.75" x14ac:dyDescent="0.25">
      <c r="B26" t="s">
        <v>28</v>
      </c>
      <c r="C26" s="41">
        <v>18194</v>
      </c>
      <c r="D26" s="45"/>
      <c r="E26" t="s">
        <v>87</v>
      </c>
      <c r="F26" s="43">
        <v>720</v>
      </c>
      <c r="O26" t="s">
        <v>43</v>
      </c>
      <c r="P26">
        <v>0</v>
      </c>
    </row>
    <row r="27" spans="2:16" ht="15.75" x14ac:dyDescent="0.25">
      <c r="B27" t="s">
        <v>29</v>
      </c>
      <c r="C27" s="41">
        <v>19839</v>
      </c>
      <c r="D27" s="45"/>
      <c r="E27" t="s">
        <v>88</v>
      </c>
      <c r="F27" s="43">
        <v>720</v>
      </c>
      <c r="O27" t="s">
        <v>178</v>
      </c>
      <c r="P27" s="52">
        <v>830</v>
      </c>
    </row>
    <row r="28" spans="2:16" x14ac:dyDescent="0.25">
      <c r="B28" t="s">
        <v>30</v>
      </c>
      <c r="C28" s="41">
        <v>1085</v>
      </c>
      <c r="E28" t="s">
        <v>89</v>
      </c>
      <c r="F28" s="43">
        <v>526</v>
      </c>
      <c r="O28" t="s">
        <v>179</v>
      </c>
      <c r="P28" s="52">
        <v>1470</v>
      </c>
    </row>
    <row r="29" spans="2:16" x14ac:dyDescent="0.25">
      <c r="B29" t="s">
        <v>31</v>
      </c>
      <c r="C29" s="41">
        <v>2170</v>
      </c>
      <c r="E29" t="s">
        <v>90</v>
      </c>
      <c r="F29" s="43">
        <v>526</v>
      </c>
    </row>
    <row r="30" spans="2:16" x14ac:dyDescent="0.25">
      <c r="B30" t="s">
        <v>32</v>
      </c>
      <c r="C30" s="41">
        <v>3255</v>
      </c>
      <c r="E30" t="s">
        <v>91</v>
      </c>
      <c r="F30" s="43">
        <v>526</v>
      </c>
    </row>
    <row r="31" spans="2:16" x14ac:dyDescent="0.25">
      <c r="B31" t="s">
        <v>33</v>
      </c>
      <c r="C31" s="41">
        <v>4340</v>
      </c>
      <c r="E31" t="s">
        <v>92</v>
      </c>
      <c r="F31" s="43">
        <v>526</v>
      </c>
    </row>
    <row r="32" spans="2:16" x14ac:dyDescent="0.25">
      <c r="B32" t="s">
        <v>34</v>
      </c>
      <c r="C32" s="41">
        <v>5425</v>
      </c>
      <c r="E32" t="s">
        <v>93</v>
      </c>
      <c r="F32" s="43">
        <v>715</v>
      </c>
    </row>
    <row r="33" spans="2:6" x14ac:dyDescent="0.25">
      <c r="B33" t="s">
        <v>35</v>
      </c>
      <c r="C33" s="41">
        <v>6510</v>
      </c>
      <c r="E33" t="s">
        <v>94</v>
      </c>
      <c r="F33" s="43">
        <v>715</v>
      </c>
    </row>
    <row r="34" spans="2:6" x14ac:dyDescent="0.25">
      <c r="B34" t="s">
        <v>36</v>
      </c>
      <c r="C34" s="41">
        <v>7595</v>
      </c>
      <c r="E34" t="s">
        <v>95</v>
      </c>
      <c r="F34" s="43">
        <v>715</v>
      </c>
    </row>
    <row r="35" spans="2:6" x14ac:dyDescent="0.25">
      <c r="B35" t="s">
        <v>37</v>
      </c>
      <c r="C35" s="41">
        <v>8680</v>
      </c>
      <c r="E35" t="s">
        <v>96</v>
      </c>
      <c r="F35" s="43">
        <v>715</v>
      </c>
    </row>
    <row r="36" spans="2:6" x14ac:dyDescent="0.25">
      <c r="B36" t="s">
        <v>38</v>
      </c>
      <c r="C36" s="41">
        <v>9765</v>
      </c>
      <c r="E36" t="s">
        <v>97</v>
      </c>
      <c r="F36" s="43">
        <v>715</v>
      </c>
    </row>
    <row r="37" spans="2:6" x14ac:dyDescent="0.25">
      <c r="B37" t="s">
        <v>39</v>
      </c>
      <c r="C37" s="41">
        <v>10850</v>
      </c>
      <c r="E37" t="s">
        <v>98</v>
      </c>
      <c r="F37" s="43">
        <v>715</v>
      </c>
    </row>
    <row r="38" spans="2:6" x14ac:dyDescent="0.25">
      <c r="B38" t="s">
        <v>40</v>
      </c>
      <c r="C38" s="41">
        <v>11935</v>
      </c>
      <c r="E38" t="s">
        <v>99</v>
      </c>
      <c r="F38" s="43">
        <v>715</v>
      </c>
    </row>
    <row r="39" spans="2:6" x14ac:dyDescent="0.25">
      <c r="B39" t="s">
        <v>41</v>
      </c>
      <c r="C39" s="41">
        <v>13014</v>
      </c>
      <c r="E39" t="s">
        <v>100</v>
      </c>
      <c r="F39" s="43">
        <v>715</v>
      </c>
    </row>
    <row r="40" spans="2:6" x14ac:dyDescent="0.25">
      <c r="E40" t="s">
        <v>101</v>
      </c>
      <c r="F40" s="43">
        <v>536</v>
      </c>
    </row>
    <row r="41" spans="2:6" x14ac:dyDescent="0.25">
      <c r="E41" t="s">
        <v>102</v>
      </c>
      <c r="F41" s="43">
        <v>536</v>
      </c>
    </row>
    <row r="42" spans="2:6" x14ac:dyDescent="0.25">
      <c r="E42" t="s">
        <v>103</v>
      </c>
      <c r="F42" s="43">
        <v>536</v>
      </c>
    </row>
    <row r="43" spans="2:6" x14ac:dyDescent="0.25">
      <c r="E43" t="s">
        <v>104</v>
      </c>
      <c r="F43" s="43">
        <v>536</v>
      </c>
    </row>
    <row r="44" spans="2:6" x14ac:dyDescent="0.25">
      <c r="E44" t="s">
        <v>105</v>
      </c>
      <c r="F44" s="43">
        <v>725</v>
      </c>
    </row>
    <row r="45" spans="2:6" x14ac:dyDescent="0.25">
      <c r="E45" t="s">
        <v>106</v>
      </c>
      <c r="F45" s="43">
        <v>725</v>
      </c>
    </row>
    <row r="46" spans="2:6" x14ac:dyDescent="0.25">
      <c r="E46" t="s">
        <v>107</v>
      </c>
      <c r="F46" s="43">
        <v>725</v>
      </c>
    </row>
    <row r="47" spans="2:6" x14ac:dyDescent="0.25">
      <c r="E47" t="s">
        <v>108</v>
      </c>
      <c r="F47" s="43">
        <v>725</v>
      </c>
    </row>
    <row r="48" spans="2:6" x14ac:dyDescent="0.25">
      <c r="E48" t="s">
        <v>109</v>
      </c>
      <c r="F48" s="43">
        <v>725</v>
      </c>
    </row>
    <row r="49" spans="5:6" x14ac:dyDescent="0.25">
      <c r="E49" t="s">
        <v>110</v>
      </c>
      <c r="F49" s="43">
        <v>725</v>
      </c>
    </row>
    <row r="50" spans="5:6" x14ac:dyDescent="0.25">
      <c r="E50" t="s">
        <v>111</v>
      </c>
      <c r="F50" s="43">
        <v>725</v>
      </c>
    </row>
    <row r="51" spans="5:6" x14ac:dyDescent="0.25">
      <c r="E51" t="s">
        <v>112</v>
      </c>
      <c r="F51" s="43">
        <v>725</v>
      </c>
    </row>
    <row r="52" spans="5:6" x14ac:dyDescent="0.25">
      <c r="E52" t="s">
        <v>113</v>
      </c>
      <c r="F52" s="43">
        <v>531</v>
      </c>
    </row>
    <row r="53" spans="5:6" x14ac:dyDescent="0.25">
      <c r="E53" t="s">
        <v>114</v>
      </c>
      <c r="F53" s="43">
        <v>531</v>
      </c>
    </row>
    <row r="54" spans="5:6" x14ac:dyDescent="0.25">
      <c r="E54" t="s">
        <v>115</v>
      </c>
      <c r="F54" s="43">
        <v>531</v>
      </c>
    </row>
    <row r="55" spans="5:6" x14ac:dyDescent="0.25">
      <c r="E55" t="s">
        <v>116</v>
      </c>
      <c r="F55" s="43">
        <v>531</v>
      </c>
    </row>
    <row r="56" spans="5:6" x14ac:dyDescent="0.25">
      <c r="E56" t="s">
        <v>117</v>
      </c>
      <c r="F56" s="43">
        <v>720</v>
      </c>
    </row>
    <row r="57" spans="5:6" x14ac:dyDescent="0.25">
      <c r="E57" t="s">
        <v>118</v>
      </c>
      <c r="F57" s="43">
        <v>720</v>
      </c>
    </row>
    <row r="58" spans="5:6" x14ac:dyDescent="0.25">
      <c r="E58" t="s">
        <v>119</v>
      </c>
      <c r="F58" s="43">
        <v>720</v>
      </c>
    </row>
    <row r="59" spans="5:6" x14ac:dyDescent="0.25">
      <c r="E59" t="s">
        <v>120</v>
      </c>
      <c r="F59" s="43">
        <v>720</v>
      </c>
    </row>
    <row r="60" spans="5:6" x14ac:dyDescent="0.25">
      <c r="E60" t="s">
        <v>121</v>
      </c>
      <c r="F60" s="43">
        <v>720</v>
      </c>
    </row>
    <row r="61" spans="5:6" x14ac:dyDescent="0.25">
      <c r="E61" t="s">
        <v>122</v>
      </c>
      <c r="F61" s="43">
        <v>720</v>
      </c>
    </row>
    <row r="62" spans="5:6" x14ac:dyDescent="0.25">
      <c r="E62" t="s">
        <v>123</v>
      </c>
      <c r="F62" s="43">
        <v>720</v>
      </c>
    </row>
    <row r="63" spans="5:6" x14ac:dyDescent="0.25">
      <c r="E63" t="s">
        <v>124</v>
      </c>
      <c r="F63" s="43">
        <v>720</v>
      </c>
    </row>
  </sheetData>
  <sheetProtection selectLockedCells="1" selectUnlockedCells="1"/>
  <mergeCells count="6">
    <mergeCell ref="O3:P3"/>
    <mergeCell ref="C1:E1"/>
    <mergeCell ref="B3:C3"/>
    <mergeCell ref="E3:F3"/>
    <mergeCell ref="H3:J3"/>
    <mergeCell ref="L3:M3"/>
  </mergeCells>
  <phoneticPr fontId="2"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AA8D0343E9F60499AAA77698DCFF1FB" ma:contentTypeVersion="16" ma:contentTypeDescription="Create a new document." ma:contentTypeScope="" ma:versionID="6ae6dbca46837567369a540b0379545d">
  <xsd:schema xmlns:xsd="http://www.w3.org/2001/XMLSchema" xmlns:xs="http://www.w3.org/2001/XMLSchema" xmlns:p="http://schemas.microsoft.com/office/2006/metadata/properties" xmlns:ns2="6473cb05-2973-4678-9ef4-7086a0484fc8" xmlns:ns3="a658d92a-df03-432a-932c-bfaac9926ae3" targetNamespace="http://schemas.microsoft.com/office/2006/metadata/properties" ma:root="true" ma:fieldsID="47dcd4c11edf760249292f4f8a9adb97" ns2:_="" ns3:_="">
    <xsd:import namespace="6473cb05-2973-4678-9ef4-7086a0484fc8"/>
    <xsd:import namespace="a658d92a-df03-432a-932c-bfaac9926ae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73cb05-2973-4678-9ef4-7086a0484f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e6962ab-0744-46a3-9e0f-3fe952fbdfd0"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8d92a-df03-432a-932c-bfaac9926ae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6f12dc4-6138-46a8-bbf4-d98b3633af6f}" ma:internalName="TaxCatchAll" ma:showField="CatchAllData" ma:web="a658d92a-df03-432a-932c-bfaac9926ae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658d92a-df03-432a-932c-bfaac9926ae3" xsi:nil="true"/>
    <lcf76f155ced4ddcb4097134ff3c332f xmlns="6473cb05-2973-4678-9ef4-7086a0484fc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FC94BAC-158B-4EE6-B39D-612205E69307}">
  <ds:schemaRefs>
    <ds:schemaRef ds:uri="http://schemas.microsoft.com/sharepoint/v3/contenttype/forms"/>
  </ds:schemaRefs>
</ds:datastoreItem>
</file>

<file path=customXml/itemProps2.xml><?xml version="1.0" encoding="utf-8"?>
<ds:datastoreItem xmlns:ds="http://schemas.openxmlformats.org/officeDocument/2006/customXml" ds:itemID="{4611696D-1731-4BC8-BADA-A604048B77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73cb05-2973-4678-9ef4-7086a0484fc8"/>
    <ds:schemaRef ds:uri="a658d92a-df03-432a-932c-bfaac9926a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6079BC-333D-4417-98BB-693C15762D1A}">
  <ds:schemaRefs>
    <ds:schemaRef ds:uri="http://schemas.microsoft.com/office/2006/metadata/properties"/>
    <ds:schemaRef ds:uri="http://schemas.microsoft.com/office/infopath/2007/PartnerControls"/>
    <ds:schemaRef ds:uri="a658d92a-df03-432a-932c-bfaac9926ae3"/>
    <ds:schemaRef ds:uri="6473cb05-2973-4678-9ef4-7086a0484fc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Calculator</vt:lpstr>
      <vt:lpstr>Fee Breakdown</vt:lpstr>
    </vt:vector>
  </TitlesOfParts>
  <Company>University of Connecticut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Lofman-Kwapien, Alyse</dc:creator>
  <cp:lastModifiedBy>Lofman-Kwapien, Alyse</cp:lastModifiedBy>
  <cp:lastPrinted>2023-04-01T13:09:33Z</cp:lastPrinted>
  <dcterms:created xsi:type="dcterms:W3CDTF">2023-03-31T16:37:44Z</dcterms:created>
  <dcterms:modified xsi:type="dcterms:W3CDTF">2026-03-02T20:14:08Z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0x010100DAA8D0343E9F60499AAA77698DCFF1FB</vt:lpwstr>
  </property>
  <property fmtid="{D5CDD505-2E9C-101B-9397-08002B2CF9AE}" pid="3" name="MediaServiceImageTags">
    <vt:lpwstr/>
  </property>
</Properties>
</file>